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7530" windowHeight="4590" tabRatio="918" firstSheet="12" activeTab="18"/>
  </bookViews>
  <sheets>
    <sheet name="Identification" sheetId="1" r:id="rId1"/>
    <sheet name="C.A. prévisionnel" sheetId="2" r:id="rId2"/>
    <sheet name="Immobilisations" sheetId="3" r:id="rId3"/>
    <sheet name="Besoins" sheetId="4" r:id="rId4"/>
    <sheet name="Emprunt" sheetId="5" r:id="rId5"/>
    <sheet name="Stocks" sheetId="6" r:id="rId6"/>
    <sheet name="Graphique des charges" sheetId="7" r:id="rId7"/>
    <sheet name="Production vendue" sheetId="8" r:id="rId8"/>
    <sheet name="Production stockée" sheetId="9" r:id="rId9"/>
    <sheet name="Production totale" sheetId="10" r:id="rId10"/>
    <sheet name="Synthèse" sheetId="11" r:id="rId11"/>
    <sheet name="Achats et Ventes" sheetId="12" r:id="rId12"/>
    <sheet name="Budget de trésorerie" sheetId="13" r:id="rId13"/>
    <sheet name="Représentation graphique" sheetId="14" r:id="rId14"/>
    <sheet name="Compte de résultat" sheetId="15" r:id="rId15"/>
    <sheet name="SIG-CAF" sheetId="16" r:id="rId16"/>
    <sheet name="Bilan de clôture" sheetId="17" r:id="rId17"/>
    <sheet name="FR-BFR-TN" sheetId="18" r:id="rId18"/>
    <sheet name="Seuil de rentabilité" sheetId="19" r:id="rId19"/>
  </sheets>
  <definedNames>
    <definedName name="achatenplus">'Stocks'!$F$43</definedName>
    <definedName name="achats">'Achats et Ventes'!$D$24</definedName>
    <definedName name="Achats_matères_premières">'Budget de trésorerie'!$G$9</definedName>
    <definedName name="achatsaout">'Achats et Ventes'!$E$36</definedName>
    <definedName name="achatsavril">'Achats et Ventes'!$E$32</definedName>
    <definedName name="achatsdecembre">'Achats et Ventes'!$E$40</definedName>
    <definedName name="achatsfevrier">'Achats et Ventes'!$E$30</definedName>
    <definedName name="achatsjanvier">'Achats et Ventes'!$E$29</definedName>
    <definedName name="achatsjuillet">'Achats et Ventes'!$E$35</definedName>
    <definedName name="achatsjuin">'Achats et Ventes'!$E$34</definedName>
    <definedName name="achatsmai">'Achats et Ventes'!$E$33</definedName>
    <definedName name="achatsmars">'Achats et Ventes'!$E$31</definedName>
    <definedName name="achatsnovembre">'Achats et Ventes'!$E$39</definedName>
    <definedName name="achatsoctobre">'Achats et Ventes'!$E$38</definedName>
    <definedName name="achatsproduction">'Stocks'!$F$18</definedName>
    <definedName name="achatsseptembre">'Achats et Ventes'!$E$37</definedName>
    <definedName name="amortissements_et_provisions">'FR-BFR-TN'!$D$11</definedName>
    <definedName name="amtemprunt">'Emprunt'!$E$37</definedName>
    <definedName name="annuite">'Emprunt'!$F$37</definedName>
    <definedName name="apports">'Besoins'!$E$11</definedName>
    <definedName name="assurances">'Besoins'!$E$29</definedName>
    <definedName name="Autres_charges_externes">'Budget de trésorerie'!$G$12</definedName>
    <definedName name="autrescharges">'Compte de résultat'!$C$18</definedName>
    <definedName name="banquedebut">'Synthèse'!$C$10</definedName>
    <definedName name="banquedepart">'Achats et Ventes'!$C$18</definedName>
    <definedName name="banquefin">'Budget de trésorerie'!$E$55</definedName>
    <definedName name="Budget_Publicite">'C.A. prévisionnel'!$L$43</definedName>
    <definedName name="budgetpub">'C.A. prévisionnel'!$F$46</definedName>
    <definedName name="CA_unitaire">'C.A. prévisionnel'!$L$41</definedName>
    <definedName name="capital">'Achats et Ventes'!$E$12</definedName>
    <definedName name="capitaux_propres">'FR-BFR-TN'!$D$9</definedName>
    <definedName name="caprev">'C.A. prévisionnel'!$F$39</definedName>
    <definedName name="cfd">'Besoins'!$E$36</definedName>
    <definedName name="charges">'Besoins'!$E$39</definedName>
    <definedName name="charges_fixes">'Synthèse'!$H$40</definedName>
    <definedName name="charges_sociales">'Besoins'!$E$34</definedName>
    <definedName name="Charges_sur_salaires">'Budget de trésorerie'!$G$18</definedName>
    <definedName name="chargesfinancieres">'Compte de résultat'!$C$24</definedName>
    <definedName name="chargesfixesdiverses">'Synthèse'!$C$46</definedName>
    <definedName name="chargessalaires">'Synthèse'!$C$44</definedName>
    <definedName name="chargessociales">'Synthèse'!$C$44</definedName>
    <definedName name="chargesvariablesdiverses">'Synthèse'!$C$47</definedName>
    <definedName name="chiffreaffaires">'Achats et Ventes'!$D$23</definedName>
    <definedName name="clients">'Budget de trésorerie'!$B$57</definedName>
    <definedName name="corporelles">'Synthèse'!$C$20</definedName>
    <definedName name="cout_total_production">'Stocks'!$J$47</definedName>
    <definedName name="cout_unitaire">'Stocks'!$J$48</definedName>
    <definedName name="cumulfinal">'Production vendue'!$F$25</definedName>
    <definedName name="cvd">'Besoins'!$E$37</definedName>
    <definedName name="dap">'Compte de résultat'!$C$17</definedName>
    <definedName name="dap1">'Synthèse'!$C$16</definedName>
    <definedName name="dap2">'Synthèse'!$C$22</definedName>
    <definedName name="delai">'Besoins'!$E$41</definedName>
    <definedName name="delaiachats">'Stocks'!$F$20</definedName>
    <definedName name="delaipub">'C.A. prévisionnel'!$L$45</definedName>
    <definedName name="depensesmois">'Synthèse'!$C$48</definedName>
    <definedName name="dettes_financieres">'FR-BFR-TN'!$D$12</definedName>
    <definedName name="duree_emprunt">'Emprunt'!$J$14</definedName>
    <definedName name="edf">'Besoins'!$E$30</definedName>
    <definedName name="emplois_stables">'FR-BFR-TN'!$B$11</definedName>
    <definedName name="emprunt">'Synthèse'!$C$26</definedName>
    <definedName name="emprunt_total">'Emprunt'!$E$10</definedName>
    <definedName name="empruntsup">'Besoins'!$E$48</definedName>
    <definedName name="entretien">'Besoins'!$E$31</definedName>
    <definedName name="finaout">'Achats et Ventes'!$F$36</definedName>
    <definedName name="finavril">'Achats et Ventes'!$F$32</definedName>
    <definedName name="findecembre">'Achats et Ventes'!$F$40</definedName>
    <definedName name="finfevrier">'Achats et Ventes'!$F$30</definedName>
    <definedName name="finjanvier">'Achats et Ventes'!$F$29</definedName>
    <definedName name="finjuillet">'Achats et Ventes'!$F$35</definedName>
    <definedName name="finjuin">'Achats et Ventes'!$F$34</definedName>
    <definedName name="finmai">'Achats et Ventes'!$F$33</definedName>
    <definedName name="finmars">'Achats et Ventes'!$F$31</definedName>
    <definedName name="finnovembre">'Achats et Ventes'!$F$39</definedName>
    <definedName name="finoctobre">'Achats et Ventes'!$F$38</definedName>
    <definedName name="finseptembre">'Achats et Ventes'!$F$37</definedName>
    <definedName name="fixes">'Synthèse'!$C$50</definedName>
    <definedName name="fournisseurs">'Budget de trésorerie'!$B$58</definedName>
    <definedName name="immo30">'Immobilisations'!$S$31</definedName>
    <definedName name="immo60">'Immobilisations'!$T$31</definedName>
    <definedName name="immo90">'Immobilisations'!$U$31</definedName>
    <definedName name="impotbenefice">'Compte de résultat'!$C$32</definedName>
    <definedName name="incorporelles">'Synthèse'!$C$14</definedName>
    <definedName name="interets">'Emprunt'!$D$37</definedName>
    <definedName name="joursactivite">'Stocks'!$F$9</definedName>
    <definedName name="loyer">'Besoins'!$E$32</definedName>
    <definedName name="mensualite_emprunt">'Emprunt'!$F$25</definedName>
    <definedName name="montant_a_emprunter">'Besoins'!$E$46</definedName>
    <definedName name="montant_emprunte">'Besoins'!$E$20</definedName>
    <definedName name="necessaire">'Synthèse'!#REF!</definedName>
    <definedName name="prodimmo">'Compte de résultat'!$E$12</definedName>
    <definedName name="production">'C.A. prévisionnel'!$J$21</definedName>
    <definedName name="production_annuelle">'Compte de résultat'!$E$19</definedName>
    <definedName name="production_totale">'Stocks'!$E$38</definedName>
    <definedName name="produitsenplus">'Stocks'!$E$37</definedName>
    <definedName name="produitsexceptionnels">'Compte de résultat'!$E$30</definedName>
    <definedName name="produitsfinanciers">'Compte de résultat'!$E$24</definedName>
    <definedName name="provisionsmp">'Stocks'!#REF!</definedName>
    <definedName name="provisionspf">'Stocks'!#REF!</definedName>
    <definedName name="provmp">'Stocks'!#REF!</definedName>
    <definedName name="provpf">'Stocks'!#REF!</definedName>
    <definedName name="publicité">'Synthèse'!#REF!</definedName>
    <definedName name="ressources_stables">'FR-BFR-TN'!$D$13</definedName>
    <definedName name="restant_du">'Emprunt'!$I$37</definedName>
    <definedName name="restantdu">'Bilan de clôture'!$D$96</definedName>
    <definedName name="resulbilan">'Compte de résultat'!$B$41</definedName>
    <definedName name="resultatexercice">'SIG-CAF'!$C$38</definedName>
    <definedName name="salaires">'Synthèse'!$C$43</definedName>
    <definedName name="salaires_et_traitements">'Budget de trésorerie'!$G$15</definedName>
    <definedName name="solde_crediteur_banque">'FR-BFR-TN'!$D$26</definedName>
    <definedName name="stockfinal">'Stocks'!$F$24</definedName>
    <definedName name="stockfinalmp">'Stocks'!$I$24</definedName>
    <definedName name="stockmat">'Synthèse'!$C$35</definedName>
    <definedName name="stockproduits">'Synthèse'!$C$36</definedName>
    <definedName name="stockproduitsfinis">'Stocks'!$F$44</definedName>
    <definedName name="subvention">'Compte de résultat'!$E$13</definedName>
    <definedName name="taux_emprunt">'Emprunt'!$E$12</definedName>
    <definedName name="taux_tva">'C.A. prévisionnel'!$F$27</definedName>
    <definedName name="telephone">'Besoins'!$E$35</definedName>
    <definedName name="totalachatsmp">'Stocks'!$F$25</definedName>
    <definedName name="totalachatsregles">'Budget de trésorerie'!$F$55</definedName>
    <definedName name="totalcharges">'Synthèse'!$C$48</definedName>
    <definedName name="totaldesachatsmp">'Stocks'!$F$45</definedName>
    <definedName name="TVA1">#REF!</definedName>
    <definedName name="variables">'Synthèse'!$C$51</definedName>
    <definedName name="ventesaout">'Achats et Ventes'!$D$36</definedName>
    <definedName name="ventesavril">'Achats et Ventes'!$D$32</definedName>
    <definedName name="ventesdecembre">'Achats et Ventes'!$D$40</definedName>
    <definedName name="ventesfevrier">'Achats et Ventes'!$D$30</definedName>
    <definedName name="ventesjanvier">'Achats et Ventes'!$D$29</definedName>
    <definedName name="ventesjuillet">'Achats et Ventes'!$D$35</definedName>
    <definedName name="ventesjuin">'Achats et Ventes'!$D$34</definedName>
    <definedName name="ventesmai">'Achats et Ventes'!$D$33</definedName>
    <definedName name="ventesmars">'Achats et Ventes'!$D$31</definedName>
    <definedName name="ventesnovembre">'Achats et Ventes'!$D$39</definedName>
    <definedName name="ventesoctobre">'Achats et Ventes'!$D$38</definedName>
    <definedName name="ventesseptembre">'Achats et Ventes'!$D$37</definedName>
    <definedName name="_xlnm.Print_Area" localSheetId="11">'Achats et Ventes'!$A$1:$F$42</definedName>
    <definedName name="_xlnm.Print_Area" localSheetId="3">'Besoins'!$A$1:$E$47</definedName>
    <definedName name="_xlnm.Print_Area" localSheetId="16">'Bilan de clôture'!$A$1:$F$116</definedName>
    <definedName name="_xlnm.Print_Area" localSheetId="12">'Budget de trésorerie'!$A$1:$E$60</definedName>
    <definedName name="_xlnm.Print_Area" localSheetId="1">'C.A. prévisionnel'!$A$1:$H$51</definedName>
    <definedName name="_xlnm.Print_Area" localSheetId="14">'Compte de résultat'!$A$1:$E$39</definedName>
    <definedName name="_xlnm.Print_Area" localSheetId="4">'Emprunt'!$A$1:$F$38</definedName>
    <definedName name="_xlnm.Print_Area" localSheetId="17">'FR-BFR-TN'!$A$1:$D$56</definedName>
    <definedName name="_xlnm.Print_Area" localSheetId="6">'Graphique des charges'!$A$1:$H$48</definedName>
    <definedName name="_xlnm.Print_Area" localSheetId="0">'Identification'!$A$1:$D$36</definedName>
    <definedName name="_xlnm.Print_Area" localSheetId="2">'Immobilisations'!$A$1:$H$41</definedName>
    <definedName name="_xlnm.Print_Area" localSheetId="8">'Production stockée'!$A$1:$E$52</definedName>
    <definedName name="_xlnm.Print_Area" localSheetId="9">'Production totale'!$A$1:$H$52</definedName>
    <definedName name="_xlnm.Print_Area" localSheetId="7">'Production vendue'!$A$1:$F$49</definedName>
    <definedName name="_xlnm.Print_Area" localSheetId="13">'Représentation graphique'!$A$1:$K$39</definedName>
    <definedName name="_xlnm.Print_Area" localSheetId="18">'Seuil de rentabilité'!$A$1:$D$46</definedName>
    <definedName name="_xlnm.Print_Area" localSheetId="15">'SIG-CAF'!$A$1:$C$59</definedName>
    <definedName name="_xlnm.Print_Area" localSheetId="5">'Stocks'!$A$1:$F$50</definedName>
    <definedName name="_xlnm.Print_Area" localSheetId="10">'Synthèse'!$A$1:$D$51</definedName>
  </definedNames>
  <calcPr fullCalcOnLoad="1"/>
</workbook>
</file>

<file path=xl/comments1.xml><?xml version="1.0" encoding="utf-8"?>
<comments xmlns="http://schemas.openxmlformats.org/spreadsheetml/2006/main">
  <authors>
    <author>LEFEBVRE YANNICK</author>
  </authors>
  <commentList>
    <comment ref="B5" authorId="0">
      <text>
        <r>
          <rPr>
            <b/>
            <sz val="8"/>
            <rFont val="Tahoma"/>
            <family val="0"/>
          </rPr>
          <t>Indiquez le nom de votre société.</t>
        </r>
      </text>
    </comment>
    <comment ref="B2" authorId="0">
      <text>
        <r>
          <rPr>
            <b/>
            <sz val="8"/>
            <rFont val="Tahoma"/>
            <family val="0"/>
          </rPr>
          <t xml:space="preserve">
Insérez le logo de votre société.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Ajustez le logo dans le cadre.</t>
        </r>
      </text>
    </comment>
    <comment ref="B6" authorId="0">
      <text>
        <r>
          <rPr>
            <b/>
            <sz val="8"/>
            <rFont val="Tahoma"/>
            <family val="0"/>
          </rPr>
          <t>Indiquez le status juridique de votre société.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Cliquez sur la cellule pour effectuer votre choix.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Indiquez les cordonnées de la société
 (adressse, n° de téléphone, de fax, e-mail, site internet).
</t>
        </r>
        <r>
          <rPr>
            <b/>
            <sz val="8"/>
            <color indexed="10"/>
            <rFont val="Tahoma"/>
            <family val="2"/>
          </rPr>
          <t>6 lignes disponibles.</t>
        </r>
      </text>
    </comment>
    <comment ref="C6" authorId="0">
      <text>
        <r>
          <rPr>
            <b/>
            <sz val="8"/>
            <rFont val="Tahoma"/>
            <family val="0"/>
          </rPr>
          <t xml:space="preserve">Le capital de votre société sera
 reporté automatiquement après
 saisie de vos apports </t>
        </r>
        <r>
          <rPr>
            <b/>
            <sz val="8"/>
            <color indexed="10"/>
            <rFont val="Tahoma"/>
            <family val="2"/>
          </rPr>
          <t>(onglet "Besoins")</t>
        </r>
        <r>
          <rPr>
            <b/>
            <sz val="8"/>
            <rFont val="Tahoma"/>
            <family val="0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LEFEBVRE YANNICK</author>
  </authors>
  <commentList>
    <comment ref="F49" authorId="0">
      <text>
        <r>
          <rPr>
            <b/>
            <sz val="8"/>
            <rFont val="Tahoma"/>
            <family val="0"/>
          </rPr>
          <t>Cliquez sur la cellule et faites votre choix.</t>
        </r>
        <r>
          <rPr>
            <sz val="8"/>
            <rFont val="Tahoma"/>
            <family val="0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0"/>
          </rPr>
          <t>30 % à la commande.
Règlement le mois en cours.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LEFEBVRE YANNICK</author>
  </authors>
  <commentList>
    <comment ref="B9" authorId="0">
      <text>
        <r>
          <rPr>
            <b/>
            <sz val="8"/>
            <rFont val="Tahoma"/>
            <family val="2"/>
          </rPr>
          <t>Indiquez la description de l'immobilisation.
 Par exemple : ligne de production, mouleuse, etc…)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0"/>
          </rPr>
          <t>Cliquez sur la cellule et faites votre choix.</t>
        </r>
      </text>
    </comment>
    <comment ref="G9" authorId="0">
      <text>
        <r>
          <rPr>
            <b/>
            <sz val="8"/>
            <rFont val="Tahoma"/>
            <family val="0"/>
          </rPr>
          <t>Indiquez le nombre d'années.</t>
        </r>
      </text>
    </comment>
    <comment ref="E9" authorId="0">
      <text>
        <r>
          <rPr>
            <b/>
            <sz val="8"/>
            <rFont val="Tahoma"/>
            <family val="0"/>
          </rPr>
          <t>Cliquez sur la cellule et faites votre choix.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LEFEBVRE YANNICK</author>
    <author>****</author>
  </authors>
  <commentList>
    <comment ref="E11" authorId="0">
      <text>
        <r>
          <rPr>
            <b/>
            <sz val="8"/>
            <rFont val="Tahoma"/>
            <family val="2"/>
          </rPr>
          <t>Indiquez le montant de vos apports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 (Capital de la société)</t>
        </r>
        <r>
          <rPr>
            <b/>
            <sz val="8"/>
            <rFont val="Tahoma"/>
            <family val="2"/>
          </rPr>
          <t>.</t>
        </r>
      </text>
    </comment>
    <comment ref="E41" authorId="1">
      <text>
        <r>
          <rPr>
            <b/>
            <sz val="8"/>
            <rFont val="Tahoma"/>
            <family val="0"/>
          </rPr>
          <t>Faites votre choix.</t>
        </r>
      </text>
    </comment>
  </commentList>
</comments>
</file>

<file path=xl/comments5.xml><?xml version="1.0" encoding="utf-8"?>
<comments xmlns="http://schemas.openxmlformats.org/spreadsheetml/2006/main">
  <authors>
    <author>LEFEBVRE YANNICK</author>
  </authors>
  <commentList>
    <comment ref="E12" authorId="0">
      <text>
        <r>
          <rPr>
            <b/>
            <sz val="8"/>
            <rFont val="Tahoma"/>
            <family val="0"/>
          </rPr>
          <t>Saisir le taux.</t>
        </r>
      </text>
    </comment>
    <comment ref="E14" authorId="0">
      <text>
        <r>
          <rPr>
            <b/>
            <sz val="8"/>
            <rFont val="Tahoma"/>
            <family val="0"/>
          </rPr>
          <t>Saisir le nombre d'années.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****</author>
    <author>LEFEBVRE YANNICK</author>
  </authors>
  <commentList>
    <comment ref="F9" authorId="0">
      <text>
        <r>
          <rPr>
            <b/>
            <sz val="8"/>
            <rFont val="Tahoma"/>
            <family val="2"/>
          </rPr>
          <t>Saisie du nombre de jours.</t>
        </r>
      </text>
    </comment>
    <comment ref="F23" authorId="0">
      <text>
        <r>
          <rPr>
            <b/>
            <sz val="8"/>
            <rFont val="Tahoma"/>
            <family val="2"/>
          </rPr>
          <t>Saisie du nombre de jours.</t>
        </r>
      </text>
    </comment>
    <comment ref="F36" authorId="0">
      <text>
        <r>
          <rPr>
            <b/>
            <sz val="8"/>
            <rFont val="Tahoma"/>
            <family val="2"/>
          </rPr>
          <t>Saisie du nombre de jours.</t>
        </r>
      </text>
    </comment>
    <comment ref="F20" authorId="1">
      <text>
        <r>
          <rPr>
            <b/>
            <sz val="8"/>
            <rFont val="Tahoma"/>
            <family val="0"/>
          </rPr>
          <t>Faites votre choix.</t>
        </r>
      </text>
    </comment>
  </commentList>
</comments>
</file>

<file path=xl/comments8.xml><?xml version="1.0" encoding="utf-8"?>
<comments xmlns="http://schemas.openxmlformats.org/spreadsheetml/2006/main">
  <authors>
    <author>LEFEBVRE YANNICK</author>
  </authors>
  <commentList>
    <comment ref="C14" authorId="0">
      <text>
        <r>
          <rPr>
            <b/>
            <sz val="8"/>
            <rFont val="Tahoma"/>
            <family val="0"/>
          </rPr>
          <t>Saisie du nombre
d'unités produites
et vendues.</t>
        </r>
      </text>
    </comment>
  </commentList>
</comments>
</file>

<file path=xl/comments9.xml><?xml version="1.0" encoding="utf-8"?>
<comments xmlns="http://schemas.openxmlformats.org/spreadsheetml/2006/main">
  <authors>
    <author>LEFEBVRE YANNICK</author>
  </authors>
  <commentList>
    <comment ref="C14" authorId="0">
      <text>
        <r>
          <rPr>
            <b/>
            <sz val="8"/>
            <rFont val="Tahoma"/>
            <family val="2"/>
          </rPr>
          <t>Saisie du nombre
d'unités produites
et stockée.</t>
        </r>
      </text>
    </comment>
  </commentList>
</comments>
</file>

<file path=xl/sharedStrings.xml><?xml version="1.0" encoding="utf-8"?>
<sst xmlns="http://schemas.openxmlformats.org/spreadsheetml/2006/main" count="676" uniqueCount="456">
  <si>
    <t>Charges</t>
  </si>
  <si>
    <t>Charges d'exploitation</t>
  </si>
  <si>
    <t>Achat de marchandises</t>
  </si>
  <si>
    <t>Variation de stocks marchandises</t>
  </si>
  <si>
    <t>Achat de matières premières et autres approvisionnements</t>
  </si>
  <si>
    <t>Variation de stocks matières premières et approvisionnements</t>
  </si>
  <si>
    <t>Autres charges externes</t>
  </si>
  <si>
    <t>Impôts et taxes</t>
  </si>
  <si>
    <t>Salaires et traitements</t>
  </si>
  <si>
    <t>Charges sociales</t>
  </si>
  <si>
    <t>Dotations aux amortissements et aux provisions</t>
  </si>
  <si>
    <t>Total 1</t>
  </si>
  <si>
    <t>Charges financières</t>
  </si>
  <si>
    <t>Intérêts et charges assimilées</t>
  </si>
  <si>
    <t>Total 2</t>
  </si>
  <si>
    <t>Charges exceptionnelles</t>
  </si>
  <si>
    <t>Sur opérations de gestion</t>
  </si>
  <si>
    <t>Sur opérations de capital</t>
  </si>
  <si>
    <t>Total 3</t>
  </si>
  <si>
    <t>Impôt sur les bénéfices</t>
  </si>
  <si>
    <t>Total des charges</t>
  </si>
  <si>
    <t>Bénéfice</t>
  </si>
  <si>
    <t>Total général</t>
  </si>
  <si>
    <t>Produits</t>
  </si>
  <si>
    <t>Produits d'exploitation</t>
  </si>
  <si>
    <t>Production vendue</t>
  </si>
  <si>
    <t>Production stockée</t>
  </si>
  <si>
    <t>Production immobilisée</t>
  </si>
  <si>
    <t>Produits financiers</t>
  </si>
  <si>
    <t>de participation</t>
  </si>
  <si>
    <t>Autres intérêts assimilés</t>
  </si>
  <si>
    <t>Produits exceptionnels</t>
  </si>
  <si>
    <t>Total des produits</t>
  </si>
  <si>
    <t>Perte</t>
  </si>
  <si>
    <t>Ventes marchandises</t>
  </si>
  <si>
    <t xml:space="preserve"> + Production stockée</t>
  </si>
  <si>
    <t xml:space="preserve"> + Production immobilisée</t>
  </si>
  <si>
    <t xml:space="preserve">    Production vendue</t>
  </si>
  <si>
    <t xml:space="preserve"> = Production de l'exercice</t>
  </si>
  <si>
    <t>SOLDES INTERMEDIAIRES DE GESTION</t>
  </si>
  <si>
    <t xml:space="preserve"> + / - variations de stocks matières et autres approvisionnements</t>
  </si>
  <si>
    <t xml:space="preserve"> + Autres charges externes</t>
  </si>
  <si>
    <t xml:space="preserve"> + Subventions d'exploitation</t>
  </si>
  <si>
    <t xml:space="preserve"> = coût des marchandises vendues</t>
  </si>
  <si>
    <t xml:space="preserve"> -  Charges du personnel </t>
  </si>
  <si>
    <t xml:space="preserve"> -  Impôts et taxes </t>
  </si>
  <si>
    <t xml:space="preserve"> = Excédent Brut d'Exploitation </t>
  </si>
  <si>
    <t xml:space="preserve"> -  Achat de matières et autres approvisionnements</t>
  </si>
  <si>
    <t xml:space="preserve"> = Résultat d'exploitation (avant charges financières)</t>
  </si>
  <si>
    <t xml:space="preserve"> - Charges financières</t>
  </si>
  <si>
    <t xml:space="preserve"> = Résultat courant avant impôts</t>
  </si>
  <si>
    <t xml:space="preserve">  = Valeur ajoutée</t>
  </si>
  <si>
    <t xml:space="preserve"> + / - variations de stocks</t>
  </si>
  <si>
    <t xml:space="preserve"> - Achats de marchandises</t>
  </si>
  <si>
    <t xml:space="preserve">   Ventes de marchandises</t>
  </si>
  <si>
    <t xml:space="preserve">   Marge commerciale</t>
  </si>
  <si>
    <t xml:space="preserve"> = Consommation en provenance des tiers</t>
  </si>
  <si>
    <t xml:space="preserve">   Marge commerciale + production de l'exercice</t>
  </si>
  <si>
    <t xml:space="preserve">   Produits exceptionnels</t>
  </si>
  <si>
    <t xml:space="preserve"> - Charges exceptionnelles</t>
  </si>
  <si>
    <t xml:space="preserve"> Impôt sur les bénéfices</t>
  </si>
  <si>
    <t xml:space="preserve"> = Résultat de l'exercice</t>
  </si>
  <si>
    <t xml:space="preserve"> = Résultat exceptionnel</t>
  </si>
  <si>
    <t>CAPACITE D'AUTOFINANCEMENT A PARTIR DU RESULTAT</t>
  </si>
  <si>
    <t xml:space="preserve"> + Dotations aux amortissements et provisions</t>
  </si>
  <si>
    <t xml:space="preserve">    Résultat de l'exercice</t>
  </si>
  <si>
    <t xml:space="preserve"> + Valeur comptable des actifs cédés</t>
  </si>
  <si>
    <t xml:space="preserve"> = Capacité d'autofinancement</t>
  </si>
  <si>
    <t>Subventions d'exploitation</t>
  </si>
  <si>
    <t>CAPACITE D'AUTOFINANCEMENT A PARTIR DE L'EXCEDENT BRUT D'EXPLOITATION</t>
  </si>
  <si>
    <t xml:space="preserve">  Excédent Brut d'Exploitation</t>
  </si>
  <si>
    <t xml:space="preserve"> + Autres Produits d'exploitation</t>
  </si>
  <si>
    <t xml:space="preserve"> + Produits financiers</t>
  </si>
  <si>
    <t xml:space="preserve"> - Charges financières (sauf dotations aux provisions)</t>
  </si>
  <si>
    <t xml:space="preserve"> - Charges exceptionnelles (sauf dotations et valeur comptable actifs cédés)</t>
  </si>
  <si>
    <t xml:space="preserve"> - Impôt sur les sociétés</t>
  </si>
  <si>
    <t xml:space="preserve"> - Participation des salariés</t>
  </si>
  <si>
    <t xml:space="preserve">  - Reprises sur amortisements et provisions</t>
  </si>
  <si>
    <t xml:space="preserve">  - Produit de cession des éléments d'actifs</t>
  </si>
  <si>
    <t>Autres charges</t>
  </si>
  <si>
    <t xml:space="preserve"> - Autres charges</t>
  </si>
  <si>
    <t>Dont produits de cession des éléments d'actif</t>
  </si>
  <si>
    <t>Dont Valeur Nette Comptable éléments d'actif cédés</t>
  </si>
  <si>
    <t xml:space="preserve"> + Produits exceptionnels (sauf reprises et produits de cession)</t>
  </si>
  <si>
    <t>Immobilisations incorporelles</t>
  </si>
  <si>
    <t>Frais d'établissement</t>
  </si>
  <si>
    <t>Frais de recherche et de développement</t>
  </si>
  <si>
    <t>Concessions, brevets, licences, marques…</t>
  </si>
  <si>
    <t>Fonds commercial</t>
  </si>
  <si>
    <t>Autres</t>
  </si>
  <si>
    <t>Avances et acomptes</t>
  </si>
  <si>
    <t>Immobilisations corporelles</t>
  </si>
  <si>
    <t>Terrains</t>
  </si>
  <si>
    <t>Constructions</t>
  </si>
  <si>
    <t>Installations techniques, matériels et outils industriels</t>
  </si>
  <si>
    <t>Immobilisations corporelles en cours</t>
  </si>
  <si>
    <t>Immobilisations financières</t>
  </si>
  <si>
    <t>Participations</t>
  </si>
  <si>
    <t>Créances rattachées à des participations</t>
  </si>
  <si>
    <t>Autres titres immobilisés</t>
  </si>
  <si>
    <t>Prêts</t>
  </si>
  <si>
    <t>ACTIF IMMOBILISE</t>
  </si>
  <si>
    <t>Brut</t>
  </si>
  <si>
    <t>Amort et Prov</t>
  </si>
  <si>
    <t>Net</t>
  </si>
  <si>
    <t>Stocks en cours</t>
  </si>
  <si>
    <t>Matières premières et autres approvisionnements</t>
  </si>
  <si>
    <t>En-cours de production (biens et services)</t>
  </si>
  <si>
    <t>Produits intermédiaires et finis</t>
  </si>
  <si>
    <t>Marchandises</t>
  </si>
  <si>
    <t>Avances et acomptes versés sur commandes</t>
  </si>
  <si>
    <t>Créances</t>
  </si>
  <si>
    <t>Créances clients et comptes rattachés</t>
  </si>
  <si>
    <t>Capital souscrit - appelé, non versé</t>
  </si>
  <si>
    <t>Valeurs mobilières de placement</t>
  </si>
  <si>
    <t>Actions propres</t>
  </si>
  <si>
    <t>Autres titres</t>
  </si>
  <si>
    <t>Disponibilités</t>
  </si>
  <si>
    <t>Charges constatées d'avance</t>
  </si>
  <si>
    <t>Total I</t>
  </si>
  <si>
    <t>TOTAL GENERAL ( I + II + III + IV + V)</t>
  </si>
  <si>
    <t>Charges à répartir sur plusieurs exercices III</t>
  </si>
  <si>
    <t>Primes de remboursement des obligations IV</t>
  </si>
  <si>
    <t>Ecarts de conversion actif V</t>
  </si>
  <si>
    <t>Total II</t>
  </si>
  <si>
    <t>ACTIF CIRCULANT</t>
  </si>
  <si>
    <t>Titres Immobilisé de l'Activité de Portefeuille</t>
  </si>
  <si>
    <t>Instruments de trésorerie</t>
  </si>
  <si>
    <t>ACTIF</t>
  </si>
  <si>
    <t>Exercice N</t>
  </si>
  <si>
    <t>Capitaux propres</t>
  </si>
  <si>
    <t>Capital</t>
  </si>
  <si>
    <t xml:space="preserve">          dont versé</t>
  </si>
  <si>
    <t>Primes d'émission, de fusion, d'apport</t>
  </si>
  <si>
    <t>Ecart de réévaluation</t>
  </si>
  <si>
    <t>Ecart d'équivalence</t>
  </si>
  <si>
    <t>Réserves</t>
  </si>
  <si>
    <t>Réserve légale</t>
  </si>
  <si>
    <t>Réserves statutaires ou contractuelles</t>
  </si>
  <si>
    <t>Réserves réglementées</t>
  </si>
  <si>
    <t>Report à nouveau</t>
  </si>
  <si>
    <t>Résultat de l'exercice (bénéfice ou perte)</t>
  </si>
  <si>
    <t>Subventions d'investissement</t>
  </si>
  <si>
    <t>Provisions réglementées</t>
  </si>
  <si>
    <t>Autres fonds propres</t>
  </si>
  <si>
    <t>Produits des émissions de titres participatifs</t>
  </si>
  <si>
    <t>Avances conditionnées</t>
  </si>
  <si>
    <t>Total I (bis)</t>
  </si>
  <si>
    <t>Provisions pour risques et charges</t>
  </si>
  <si>
    <t>Provisions pour risques</t>
  </si>
  <si>
    <t>Provisions pour charges</t>
  </si>
  <si>
    <t>Dettes</t>
  </si>
  <si>
    <t>Emprunts obligataires convertibles</t>
  </si>
  <si>
    <t>Autres emprunts obligataires</t>
  </si>
  <si>
    <t>Emprunts et dettes auprès des établissements de crédit</t>
  </si>
  <si>
    <t>Avances et acomptes reçus sur commandes en cours</t>
  </si>
  <si>
    <t>Dettes fournisseurs et comptes rattachés</t>
  </si>
  <si>
    <t>Dettes fiscales et sociales</t>
  </si>
  <si>
    <t>Dettes sur immobilisations et comptes rattachés</t>
  </si>
  <si>
    <t>Autres dettes</t>
  </si>
  <si>
    <t>Produits constatés d'avance</t>
  </si>
  <si>
    <t>Total III</t>
  </si>
  <si>
    <t>TOTAL GENERAL ( I + I(bis) + II + III + IV</t>
  </si>
  <si>
    <t>PASSIF</t>
  </si>
  <si>
    <t>CAPITAUX PROPRES</t>
  </si>
  <si>
    <t>DETTES</t>
  </si>
  <si>
    <r>
      <t>Ecarts de conversion passif</t>
    </r>
    <r>
      <rPr>
        <b/>
        <sz val="9"/>
        <rFont val="Arial"/>
        <family val="2"/>
      </rPr>
      <t xml:space="preserve"> (IV)</t>
    </r>
  </si>
  <si>
    <t>REGULARISATION</t>
  </si>
  <si>
    <t>PROVISIONS</t>
  </si>
  <si>
    <t>Créances diverses</t>
  </si>
  <si>
    <t>Passif circulant</t>
  </si>
  <si>
    <t>Stocks</t>
  </si>
  <si>
    <t>Total</t>
  </si>
  <si>
    <t xml:space="preserve"> + Clients</t>
  </si>
  <si>
    <t xml:space="preserve">    Stocks</t>
  </si>
  <si>
    <t xml:space="preserve"> + Charges constatées d'avance</t>
  </si>
  <si>
    <t xml:space="preserve"> + Autres</t>
  </si>
  <si>
    <t xml:space="preserve"> = Créances d'exploitation</t>
  </si>
  <si>
    <t xml:space="preserve">   VMP</t>
  </si>
  <si>
    <t xml:space="preserve"> + Créances diverses</t>
  </si>
  <si>
    <t xml:space="preserve"> = Créances hors exploitation</t>
  </si>
  <si>
    <t xml:space="preserve">   Capitaux propres</t>
  </si>
  <si>
    <t xml:space="preserve"> + Provisions pour risques et charges</t>
  </si>
  <si>
    <t xml:space="preserve"> + Amortissements et provisions</t>
  </si>
  <si>
    <t xml:space="preserve"> + Dettes financières</t>
  </si>
  <si>
    <t xml:space="preserve"> = Passif stable</t>
  </si>
  <si>
    <t xml:space="preserve">   Immobilisations brutes</t>
  </si>
  <si>
    <t xml:space="preserve"> + Charges à répartir</t>
  </si>
  <si>
    <t xml:space="preserve"> = Actif stable</t>
  </si>
  <si>
    <t xml:space="preserve">   Actif circulant</t>
  </si>
  <si>
    <t xml:space="preserve">   Total</t>
  </si>
  <si>
    <t xml:space="preserve">   Fournisseurs</t>
  </si>
  <si>
    <t xml:space="preserve"> + Dettes fiscales et sociales</t>
  </si>
  <si>
    <t xml:space="preserve"> + Produits constatés d'avance</t>
  </si>
  <si>
    <t xml:space="preserve"> = Dettes d'exploitation</t>
  </si>
  <si>
    <t xml:space="preserve">   Fournisseurs d'immobilisations</t>
  </si>
  <si>
    <t xml:space="preserve"> + Autres dettes </t>
  </si>
  <si>
    <t xml:space="preserve"> = Dettes hors exploitation</t>
  </si>
  <si>
    <t>Fonds de Roulement Net Global</t>
  </si>
  <si>
    <t xml:space="preserve"> -  Actif stable</t>
  </si>
  <si>
    <t xml:space="preserve">    Passif stable</t>
  </si>
  <si>
    <t xml:space="preserve"> = FRNG</t>
  </si>
  <si>
    <t>Besoin Fonds de Roulement d'Exploitation</t>
  </si>
  <si>
    <t xml:space="preserve">   Créances d'exploitation</t>
  </si>
  <si>
    <t xml:space="preserve"> - Dettes d'exploitation</t>
  </si>
  <si>
    <t xml:space="preserve"> = BFRE</t>
  </si>
  <si>
    <t xml:space="preserve">   Créances hors exploitation</t>
  </si>
  <si>
    <t xml:space="preserve"> - Dettes hors exploitation</t>
  </si>
  <si>
    <t xml:space="preserve"> = BFRHE</t>
  </si>
  <si>
    <t xml:space="preserve">Besoin Fonds de Roulement </t>
  </si>
  <si>
    <t xml:space="preserve">    BFRE</t>
  </si>
  <si>
    <t xml:space="preserve"> + BFRHE</t>
  </si>
  <si>
    <t xml:space="preserve"> = BFR</t>
  </si>
  <si>
    <t>Trésorerie Nette</t>
  </si>
  <si>
    <t xml:space="preserve"> = TN</t>
  </si>
  <si>
    <t xml:space="preserve"> -  BFR</t>
  </si>
  <si>
    <t xml:space="preserve">    FRNG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</si>
  <si>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</si>
  <si>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</si>
  <si>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</si>
  <si>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</si>
  <si>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</si>
  <si>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</si>
  <si>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</si>
  <si>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</si>
  <si>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</si>
  <si>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Novembre</t>
  </si>
  <si>
    <t>Décembre</t>
  </si>
  <si>
    <t>Trésorerie</t>
  </si>
  <si>
    <t>Début de mois</t>
  </si>
  <si>
    <t>Recettes</t>
  </si>
  <si>
    <t>du mois</t>
  </si>
  <si>
    <t>Dépenses</t>
  </si>
  <si>
    <t>fin de mois</t>
  </si>
  <si>
    <t>Chiffres d'affaires</t>
  </si>
  <si>
    <t>Créances clients</t>
  </si>
  <si>
    <t>Dettes fournisseurs</t>
  </si>
  <si>
    <t>Amortissements</t>
  </si>
  <si>
    <t>Loyer</t>
  </si>
  <si>
    <t>par mois</t>
  </si>
  <si>
    <t>Edf-Gdf</t>
  </si>
  <si>
    <t>Salaires</t>
  </si>
  <si>
    <t>Entretien</t>
  </si>
  <si>
    <t>Assurances</t>
  </si>
  <si>
    <t>Téléphone</t>
  </si>
  <si>
    <t>Stock produits finis valorisé au coût de production</t>
  </si>
  <si>
    <t>Montant à emprunter</t>
  </si>
  <si>
    <t>Taux d'intérêt de l'emprunt</t>
  </si>
  <si>
    <t>Charges variables diverses</t>
  </si>
  <si>
    <t>Charges fixes diverses</t>
  </si>
  <si>
    <t>Montant de l'annuité</t>
  </si>
  <si>
    <t>Montant des intérêts</t>
  </si>
  <si>
    <t>Charges mensuelles</t>
  </si>
  <si>
    <t>Octobre</t>
  </si>
  <si>
    <t>Capital restant dû</t>
  </si>
  <si>
    <t>Actif</t>
  </si>
  <si>
    <t>Passif</t>
  </si>
  <si>
    <t>Emprunt</t>
  </si>
  <si>
    <t>Immobilisations</t>
  </si>
  <si>
    <t>Banque</t>
  </si>
  <si>
    <t>Chiffre d'affaires et achats de matières premières</t>
  </si>
  <si>
    <t>Ventes</t>
  </si>
  <si>
    <t>Publicité</t>
  </si>
  <si>
    <t>EdF-GdF</t>
  </si>
  <si>
    <t>Achats Matières premières</t>
  </si>
  <si>
    <t>Trésorerie début de mois</t>
  </si>
  <si>
    <t>Charges sur salaires</t>
  </si>
  <si>
    <t>Trésorerie fin de mois</t>
  </si>
  <si>
    <t>Apport des associés pour compte bancaire</t>
  </si>
  <si>
    <t>Bilan d'ouverture (1)</t>
  </si>
  <si>
    <t>Bilan d'ouverture (2)</t>
  </si>
  <si>
    <t>Fournisseurs Immo</t>
  </si>
  <si>
    <t xml:space="preserve">  + Produits financiers</t>
  </si>
  <si>
    <t xml:space="preserve"> - Coût variable</t>
  </si>
  <si>
    <t xml:space="preserve">   Chiffre d'affaires</t>
  </si>
  <si>
    <t xml:space="preserve"> = Marge sur Coût Variable</t>
  </si>
  <si>
    <t xml:space="preserve"> - Coût Fixe</t>
  </si>
  <si>
    <t xml:space="preserve"> = Résultat</t>
  </si>
  <si>
    <t>Compte de résultat différentiel</t>
  </si>
  <si>
    <t>Seuil de rentabilité</t>
  </si>
  <si>
    <t xml:space="preserve">   Taux de marge </t>
  </si>
  <si>
    <t>Nombre de mois d'activité</t>
  </si>
  <si>
    <t>pour atteindre le point mort</t>
  </si>
  <si>
    <t>Marge de sécurité</t>
  </si>
  <si>
    <t>Marge de sécurité relative</t>
  </si>
  <si>
    <t>Société à Responsabilité Limitée au capital de :</t>
  </si>
  <si>
    <t xml:space="preserve">Société Anonyme au capital de : </t>
  </si>
  <si>
    <t>33 Route de Paris</t>
  </si>
  <si>
    <t>60 200 Compiègne</t>
  </si>
  <si>
    <t>Tél : 03-44-23-23-23    Fax : 03-44-23-23-24</t>
  </si>
  <si>
    <t>DOSSIER PRESENTE PAR :</t>
  </si>
  <si>
    <t>Marché potentiel :</t>
  </si>
  <si>
    <t>individus</t>
  </si>
  <si>
    <t>Consommation par an et par individu :</t>
  </si>
  <si>
    <t>produits</t>
  </si>
  <si>
    <t>Production théorique de la première année :</t>
  </si>
  <si>
    <t>%</t>
  </si>
  <si>
    <t>Production de la première année :</t>
  </si>
  <si>
    <t>€</t>
  </si>
  <si>
    <t>Taux de T.V.A. applicable :</t>
  </si>
  <si>
    <t>Prix H.T. du produit en rayon :</t>
  </si>
  <si>
    <t>Marge du distributeur :</t>
  </si>
  <si>
    <t>C.A. prévisionnel de la première année :</t>
  </si>
  <si>
    <t>Pourcentage du C.A. consacré à la publicité</t>
  </si>
  <si>
    <t>Budget publicitaire de la première année :</t>
  </si>
  <si>
    <t>Type</t>
  </si>
  <si>
    <t>Incorporelles</t>
  </si>
  <si>
    <t>Corporelles</t>
  </si>
  <si>
    <t>Incorporelle</t>
  </si>
  <si>
    <t>Corporelle</t>
  </si>
  <si>
    <t>Valeur H.T</t>
  </si>
  <si>
    <t>de vie</t>
  </si>
  <si>
    <t>Durée</t>
  </si>
  <si>
    <t>Choix</t>
  </si>
  <si>
    <t>règlement</t>
  </si>
  <si>
    <t>Délai de</t>
  </si>
  <si>
    <t>Corpo/Incorpo</t>
  </si>
  <si>
    <t>jours</t>
  </si>
  <si>
    <t>30 jours</t>
  </si>
  <si>
    <t>60 jours</t>
  </si>
  <si>
    <t>90 jours</t>
  </si>
  <si>
    <t>Traites à</t>
  </si>
  <si>
    <t>Traites à 30 jours</t>
  </si>
  <si>
    <t>Traites à 60 jours</t>
  </si>
  <si>
    <t>Traites à 90 jours</t>
  </si>
  <si>
    <t>Paiements des immobilisations</t>
  </si>
  <si>
    <t>Montant des immobilisations</t>
  </si>
  <si>
    <t>Amortissements Immobilisations corporelles :</t>
  </si>
  <si>
    <t>Amortissements Immobilisations incorporelles :</t>
  </si>
  <si>
    <t>Total des immobilisations incorporelles :</t>
  </si>
  <si>
    <t>Total des immobilisations corporelles :</t>
  </si>
  <si>
    <t>Montant des immobilisations incorporelles</t>
  </si>
  <si>
    <t>Amortissements par an</t>
  </si>
  <si>
    <t>Montant des immobilisations corporelles</t>
  </si>
  <si>
    <t>Nb jours</t>
  </si>
  <si>
    <t>A payer</t>
  </si>
  <si>
    <t>Le montant des immobilisations est :</t>
  </si>
  <si>
    <t>Capital de la société</t>
  </si>
  <si>
    <t xml:space="preserve">Vos apports sont de : </t>
  </si>
  <si>
    <t>Apports et couverture des immobilisations.</t>
  </si>
  <si>
    <t>Les premiers mois de charges</t>
  </si>
  <si>
    <t>Montant</t>
  </si>
  <si>
    <t>Total charges par mois</t>
  </si>
  <si>
    <t>Nombre de mois avant premiers encaissements :</t>
  </si>
  <si>
    <t>Total pour</t>
  </si>
  <si>
    <t>mois d'exploitation :</t>
  </si>
  <si>
    <t>ans</t>
  </si>
  <si>
    <t>Durée de l'emprunt :</t>
  </si>
  <si>
    <t>Vous devez produire et vendre</t>
  </si>
  <si>
    <t>unités</t>
  </si>
  <si>
    <t>pour réaliser votre chiffre d'affaires la première année.</t>
  </si>
  <si>
    <t>Nombre de jours d'activité par an :</t>
  </si>
  <si>
    <t xml:space="preserve">Votre production journalière est de : </t>
  </si>
  <si>
    <t>unités par jour.</t>
  </si>
  <si>
    <t>Il est conseillé de constituer un stock de produits finis.</t>
  </si>
  <si>
    <t>Nombre de jours de production stockée :</t>
  </si>
  <si>
    <t>Charges mensuelles hors achat des matières premières</t>
  </si>
  <si>
    <t xml:space="preserve">Le stock de produits finis est constitué de : </t>
  </si>
  <si>
    <t>Production totale :</t>
  </si>
  <si>
    <t>unités.</t>
  </si>
  <si>
    <t>Stocks de  produits finis</t>
  </si>
  <si>
    <t>Achats de matières premières pour réaliser la production vendue</t>
  </si>
  <si>
    <t xml:space="preserve">Consommation de matières premières par jour : </t>
  </si>
  <si>
    <t>Consommation totale de matières premières :</t>
  </si>
  <si>
    <t>consommation par unité vendue :</t>
  </si>
  <si>
    <t xml:space="preserve">Achats de matières premières pour production vendue : </t>
  </si>
  <si>
    <t>En constituant un stock de</t>
  </si>
  <si>
    <t>Vous devez acheter un complément de matières premières :</t>
  </si>
  <si>
    <t>Coût de revient d'une unité</t>
  </si>
  <si>
    <t>Total immos</t>
  </si>
  <si>
    <t>Total amorts</t>
  </si>
  <si>
    <t>Total charges par an</t>
  </si>
  <si>
    <t>Matières premières</t>
  </si>
  <si>
    <t>Il est conseillé de constituer un stock de matières premières</t>
  </si>
  <si>
    <t>Nombre de jours de stockage pour les matières premières :</t>
  </si>
  <si>
    <t>Valeur du stock de matières premières :</t>
  </si>
  <si>
    <t>Valeur du stock de produits finis :</t>
  </si>
  <si>
    <t>Mois</t>
  </si>
  <si>
    <t>Coût de production de la production vendue :</t>
  </si>
  <si>
    <t>Coût de production de la production stockée :</t>
  </si>
  <si>
    <t>Matières premières (Coût d'achat)</t>
  </si>
  <si>
    <t>CA prèvisionnel</t>
  </si>
  <si>
    <t>Achats de matières premières</t>
  </si>
  <si>
    <t>Recettes et Dépenses pour réalisation du chiffre d'affaires</t>
  </si>
  <si>
    <t>Nombre d'unités</t>
  </si>
  <si>
    <t>produites et</t>
  </si>
  <si>
    <t>vendues</t>
  </si>
  <si>
    <t>cumulé</t>
  </si>
  <si>
    <t>Production</t>
  </si>
  <si>
    <t>cumulée</t>
  </si>
  <si>
    <t>CA unitaire</t>
  </si>
  <si>
    <t>règlement pub</t>
  </si>
  <si>
    <t xml:space="preserve"> - Dotations aux amortissements et aux provisions</t>
  </si>
  <si>
    <t>Dettes sociales</t>
  </si>
  <si>
    <t>Achats matères premières</t>
  </si>
  <si>
    <t>assurances</t>
  </si>
  <si>
    <t>Budget Publicite</t>
  </si>
  <si>
    <t>GE15</t>
  </si>
  <si>
    <t>E-mail :ge15@wanadoo.fr</t>
  </si>
  <si>
    <t>Site internet : http://www.ge15.com</t>
  </si>
  <si>
    <t>Total 1 des achats de matières premières :</t>
  </si>
  <si>
    <t>Total 2 des achats de matières premières :</t>
  </si>
  <si>
    <t>Fevrier</t>
  </si>
  <si>
    <t>Aout</t>
  </si>
  <si>
    <t>Octobe</t>
  </si>
  <si>
    <t>Decembre</t>
  </si>
  <si>
    <t>O</t>
  </si>
  <si>
    <t>charges fixes</t>
  </si>
  <si>
    <t>cout unitaire</t>
  </si>
  <si>
    <t>Budget publicitaire</t>
  </si>
  <si>
    <t>Achats MP</t>
  </si>
  <si>
    <t>J</t>
  </si>
  <si>
    <t>F</t>
  </si>
  <si>
    <t>M</t>
  </si>
  <si>
    <t>A</t>
  </si>
  <si>
    <t>S</t>
  </si>
  <si>
    <t>N</t>
  </si>
  <si>
    <t>D</t>
  </si>
  <si>
    <t>CA</t>
  </si>
  <si>
    <t>MCV</t>
  </si>
  <si>
    <t>CF</t>
  </si>
  <si>
    <t>Tableau de remboursement d'emprunt</t>
  </si>
  <si>
    <t>Taux :</t>
  </si>
  <si>
    <t>Durée en mois :</t>
  </si>
  <si>
    <t>Date de l'emprunt</t>
  </si>
  <si>
    <t>Échéances</t>
  </si>
  <si>
    <t>Intérêts</t>
  </si>
  <si>
    <t>Amortissement du capital</t>
  </si>
  <si>
    <t>Mensualités</t>
  </si>
  <si>
    <t>duree</t>
  </si>
  <si>
    <t>Montant à emprunter :</t>
  </si>
  <si>
    <t>Taux de l'emprunt :</t>
  </si>
  <si>
    <t>Montant:</t>
  </si>
  <si>
    <t>Montant de la mensualité</t>
  </si>
  <si>
    <t>Durée de l'emprunt (mois)</t>
  </si>
  <si>
    <t>restant du</t>
  </si>
  <si>
    <t>Pourcentage de pondération du marché :</t>
  </si>
  <si>
    <t>Prix de vente en rayon TTC</t>
  </si>
  <si>
    <t>Prix de vente HT au distributeur :</t>
  </si>
  <si>
    <t>Amorts_provs</t>
  </si>
  <si>
    <t>Coût de production de la production totale :</t>
  </si>
  <si>
    <t>Solde du budget publicitaire sera payable à :</t>
  </si>
  <si>
    <t>Machine A</t>
  </si>
  <si>
    <t>Machine B</t>
  </si>
  <si>
    <t>Machine C</t>
  </si>
  <si>
    <t>Transport A</t>
  </si>
  <si>
    <t>Nombre de mois avant règlement des achats :</t>
  </si>
  <si>
    <t>Intérêts d'emprunt</t>
  </si>
  <si>
    <t>produites</t>
  </si>
  <si>
    <t>et stockées</t>
  </si>
  <si>
    <t>Cumul</t>
  </si>
  <si>
    <t>Vous devez répartir :</t>
  </si>
  <si>
    <t>Vendue</t>
  </si>
  <si>
    <t>Stockée</t>
  </si>
  <si>
    <t>Totale</t>
  </si>
  <si>
    <t>Emprunt supplémentaire désiré :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</si>
</sst>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  <numFmt numFmtId="173" formatCode="0__"/>
    <numFmt numFmtId="174" formatCode="_-* #,##0.000\ _F_-;\-* #,##0.000\ _F_-;_-* &quot;-&quot;??\ _F_-;_-@_-"/>
    <numFmt numFmtId="175" formatCode="#,##0.00_ ;\-#,##0.00\ "/>
    <numFmt numFmtId="176" formatCode="#,##0.00\ &quot;€&quot;"/>
    <numFmt numFmtId="177" formatCode="#,##0.00\ _€"/>
    <numFmt numFmtId="178" formatCode="_-* #,##0.00\ [$€-1]_-;\-* #,##0.00\ [$€-1]_-;_-* &quot;-&quot;??\ [$€-1]_-"/>
    <numFmt numFmtId="179" formatCode="#,##0.00\ [$€-1];\-#,##0.00\ [$€-1]"/>
    <numFmt numFmtId="180" formatCode="#,##0\ &quot;€&quot;"/>
    <numFmt numFmtId="181" formatCode="#,##0.0"/>
    <numFmt numFmtId="182" formatCode="#,##0.000\ &quot;€&quot;"/>
    <numFmt numFmtId="183" formatCode="#,##0.0000\ &quot;€&quot;"/>
    <numFmt numFmtId="184" formatCode="#,##0.00000\ &quot;€&quot;"/>
    <numFmt numFmtId="185" formatCode="#,##0.000000\ &quot;€&quot;"/>
    <numFmt numFmtId="186" formatCode="#,##0.0000000\ &quot;€&quot;"/>
    <numFmt numFmtId="187" formatCode="#,##0.00000000\ &quot;€&quot;"/>
    <numFmt numFmtId="188" formatCode="#,##0.000000000\ &quot;€&quot;"/>
    <numFmt numFmtId="189" formatCode="#,##0.0000000000\ &quot;€&quot;"/>
    <numFmt numFmtId="190" formatCode="#,##0.00000000000\ &quot;€&quot;"/>
    <numFmt numFmtId="191" formatCode="#,##0.000000000000\ &quot;€&quot;"/>
    <numFmt numFmtId="192" formatCode="_-* #,##0.00\ [$€]_-;\-* #,##0.00\ [$€]_-;_-* &quot;-&quot;??\ [$€]_-;_-@_-"/>
    <numFmt numFmtId="193" formatCode="_-* #,##0.00\ [$€-81D]_-;\-* #,##0.00\ [$€-81D]_-;_-* &quot;-&quot;??\ [$€-81D]_-;_-@_-"/>
    <numFmt numFmtId="194" formatCode="_-* #,##0.00\ [$€-1]_-;\-* #,##0.00\ [$€-1]_-;_-* &quot;-&quot;??\ [$€-1]_-;_-@_-"/>
    <numFmt numFmtId="195" formatCode="0.0%"/>
    <numFmt numFmtId="196" formatCode="00000"/>
    <numFmt numFmtId="197" formatCode="0.000"/>
    <numFmt numFmtId="198" formatCode="0.0"/>
    <numFmt numFmtId="199" formatCode="0.000000"/>
    <numFmt numFmtId="200" formatCode="0.00000"/>
    <numFmt numFmtId="201" formatCode="0.0000"/>
    <numFmt numFmtId="202" formatCode="#,##0.00_ ;[Red]\-#,##0.00\ "/>
    <numFmt numFmtId="203" formatCode="#,##0.00\ [$€-1];[Red]\-#,##0.00\ [$€-1]"/>
    <numFmt numFmtId="204" formatCode="#,##0.00\ [$€-1]"/>
    <numFmt numFmtId="205" formatCode="d\ mmmm\ yyyy"/>
    <numFmt numFmtId="206" formatCode="&quot;Vrai&quot;;&quot;Vrai&quot;;&quot;Faux&quot;"/>
    <numFmt numFmtId="207" formatCode="&quot;Actif&quot;;&quot;Actif&quot;;&quot;Inactif&quot;"/>
    <numFmt numFmtId="208" formatCode="mmm\-yyyy"/>
    <numFmt numFmtId="209" formatCode="mmmm\-yy"/>
  </numFmts>
  <fonts count="3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22"/>
      <name val="Arial"/>
      <family val="0"/>
    </font>
    <font>
      <b/>
      <sz val="8"/>
      <color indexed="10"/>
      <name val="Tahoma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8"/>
      <name val="Arial"/>
      <family val="2"/>
    </font>
    <font>
      <sz val="11.5"/>
      <name val="Arial"/>
      <family val="0"/>
    </font>
    <font>
      <sz val="8.5"/>
      <name val="Arial"/>
      <family val="2"/>
    </font>
    <font>
      <sz val="10.5"/>
      <name val="Arial"/>
      <family val="0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color indexed="9"/>
      <name val="Verdana"/>
      <family val="2"/>
    </font>
    <font>
      <sz val="8"/>
      <color indexed="9"/>
      <name val="Arial"/>
      <family val="0"/>
    </font>
    <font>
      <sz val="8.25"/>
      <name val="Arial"/>
      <family val="2"/>
    </font>
    <font>
      <sz val="12"/>
      <color indexed="9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0" fillId="0" borderId="2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4" xfId="0" applyFont="1" applyFill="1" applyBorder="1" applyAlignment="1" applyProtection="1">
      <alignment/>
      <protection hidden="1"/>
    </xf>
    <xf numFmtId="170" fontId="0" fillId="0" borderId="0" xfId="20" applyFont="1" applyAlignment="1" applyProtection="1">
      <alignment horizontal="center"/>
      <protection hidden="1"/>
    </xf>
    <xf numFmtId="170" fontId="0" fillId="0" borderId="0" xfId="20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0" fillId="0" borderId="2" xfId="0" applyFont="1" applyFill="1" applyBorder="1" applyAlignment="1" applyProtection="1">
      <alignment/>
      <protection hidden="1"/>
    </xf>
    <xf numFmtId="0" fontId="0" fillId="0" borderId="3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3" fillId="0" borderId="2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3" xfId="0" applyFill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3" fillId="0" borderId="7" xfId="0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2" fillId="0" borderId="8" xfId="0" applyFont="1" applyBorder="1" applyAlignment="1" applyProtection="1">
      <alignment/>
      <protection hidden="1"/>
    </xf>
    <xf numFmtId="0" fontId="3" fillId="0" borderId="8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2" fillId="0" borderId="2" xfId="0" applyFont="1" applyFill="1" applyBorder="1" applyAlignment="1" applyProtection="1">
      <alignment/>
      <protection hidden="1"/>
    </xf>
    <xf numFmtId="0" fontId="1" fillId="0" borderId="3" xfId="0" applyFont="1" applyFill="1" applyBorder="1" applyAlignment="1" applyProtection="1">
      <alignment/>
      <protection hidden="1"/>
    </xf>
    <xf numFmtId="0" fontId="2" fillId="0" borderId="9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8" fillId="0" borderId="3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/>
      <protection hidden="1"/>
    </xf>
    <xf numFmtId="0" fontId="8" fillId="0" borderId="9" xfId="0" applyFont="1" applyBorder="1" applyAlignment="1" applyProtection="1">
      <alignment/>
      <protection hidden="1"/>
    </xf>
    <xf numFmtId="0" fontId="1" fillId="0" borderId="6" xfId="0" applyFont="1" applyBorder="1" applyAlignment="1" applyProtection="1">
      <alignment/>
      <protection hidden="1"/>
    </xf>
    <xf numFmtId="170" fontId="1" fillId="0" borderId="0" xfId="20" applyFont="1" applyAlignment="1" applyProtection="1">
      <alignment/>
      <protection hidden="1"/>
    </xf>
    <xf numFmtId="0" fontId="1" fillId="0" borderId="2" xfId="0" applyFont="1" applyFill="1" applyBorder="1" applyAlignment="1" applyProtection="1">
      <alignment/>
      <protection hidden="1"/>
    </xf>
    <xf numFmtId="0" fontId="6" fillId="3" borderId="8" xfId="0" applyFont="1" applyFill="1" applyBorder="1" applyAlignment="1" applyProtection="1">
      <alignment/>
      <protection hidden="1"/>
    </xf>
    <xf numFmtId="0" fontId="1" fillId="3" borderId="7" xfId="0" applyFont="1" applyFill="1" applyBorder="1" applyAlignment="1" applyProtection="1">
      <alignment/>
      <protection hidden="1"/>
    </xf>
    <xf numFmtId="0" fontId="6" fillId="3" borderId="2" xfId="0" applyFont="1" applyFill="1" applyBorder="1" applyAlignment="1" applyProtection="1">
      <alignment/>
      <protection hidden="1"/>
    </xf>
    <xf numFmtId="0" fontId="6" fillId="3" borderId="6" xfId="0" applyFont="1" applyFill="1" applyBorder="1" applyAlignment="1" applyProtection="1">
      <alignment/>
      <protection hidden="1"/>
    </xf>
    <xf numFmtId="0" fontId="6" fillId="3" borderId="4" xfId="0" applyFont="1" applyFill="1" applyBorder="1" applyAlignment="1" applyProtection="1">
      <alignment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0" fillId="3" borderId="4" xfId="0" applyFont="1" applyFill="1" applyBorder="1" applyAlignment="1" applyProtection="1">
      <alignment/>
      <protection hidden="1"/>
    </xf>
    <xf numFmtId="170" fontId="3" fillId="3" borderId="4" xfId="20" applyFont="1" applyFill="1" applyBorder="1" applyAlignment="1" applyProtection="1">
      <alignment horizontal="center"/>
      <protection hidden="1"/>
    </xf>
    <xf numFmtId="0" fontId="3" fillId="3" borderId="4" xfId="0" applyFont="1" applyFill="1" applyBorder="1" applyAlignment="1" applyProtection="1">
      <alignment/>
      <protection hidden="1"/>
    </xf>
    <xf numFmtId="0" fontId="6" fillId="0" borderId="3" xfId="0" applyFont="1" applyBorder="1" applyAlignment="1" applyProtection="1">
      <alignment/>
      <protection hidden="1"/>
    </xf>
    <xf numFmtId="0" fontId="0" fillId="0" borderId="4" xfId="0" applyFill="1" applyBorder="1" applyAlignment="1" applyProtection="1">
      <alignment/>
      <protection hidden="1"/>
    </xf>
    <xf numFmtId="10" fontId="0" fillId="0" borderId="4" xfId="22" applyNumberFormat="1" applyFill="1" applyBorder="1" applyAlignment="1" applyProtection="1">
      <alignment/>
      <protection hidden="1"/>
    </xf>
    <xf numFmtId="0" fontId="0" fillId="0" borderId="2" xfId="0" applyFill="1" applyBorder="1" applyAlignment="1" applyProtection="1">
      <alignment/>
      <protection hidden="1"/>
    </xf>
    <xf numFmtId="0" fontId="0" fillId="0" borderId="6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0" fontId="0" fillId="0" borderId="0" xfId="22" applyNumberFormat="1" applyFill="1" applyBorder="1" applyAlignment="1" applyProtection="1">
      <alignment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right"/>
    </xf>
    <xf numFmtId="44" fontId="3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center" shrinkToFit="1"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76" fontId="3" fillId="2" borderId="3" xfId="20" applyNumberFormat="1" applyFont="1" applyFill="1" applyBorder="1" applyAlignment="1" applyProtection="1">
      <alignment horizontal="right"/>
      <protection hidden="1"/>
    </xf>
    <xf numFmtId="176" fontId="3" fillId="2" borderId="6" xfId="20" applyNumberFormat="1" applyFont="1" applyFill="1" applyBorder="1" applyAlignment="1" applyProtection="1">
      <alignment horizontal="right"/>
      <protection hidden="1"/>
    </xf>
    <xf numFmtId="0" fontId="3" fillId="0" borderId="0" xfId="0" applyFont="1" applyAlignment="1">
      <alignment horizontal="center" vertical="center"/>
    </xf>
    <xf numFmtId="0" fontId="0" fillId="4" borderId="5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3" fontId="3" fillId="4" borderId="0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9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Alignment="1">
      <alignment/>
    </xf>
    <xf numFmtId="176" fontId="3" fillId="2" borderId="0" xfId="0" applyNumberFormat="1" applyFont="1" applyFill="1" applyBorder="1" applyAlignment="1">
      <alignment/>
    </xf>
    <xf numFmtId="0" fontId="0" fillId="5" borderId="11" xfId="0" applyFill="1" applyBorder="1" applyAlignment="1">
      <alignment/>
    </xf>
    <xf numFmtId="176" fontId="3" fillId="4" borderId="10" xfId="0" applyNumberFormat="1" applyFont="1" applyFill="1" applyBorder="1" applyAlignment="1">
      <alignment vertical="center"/>
    </xf>
    <xf numFmtId="3" fontId="3" fillId="4" borderId="12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/>
    </xf>
    <xf numFmtId="176" fontId="3" fillId="2" borderId="0" xfId="0" applyNumberFormat="1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horizontal="center" vertical="center"/>
    </xf>
    <xf numFmtId="176" fontId="3" fillId="4" borderId="9" xfId="0" applyNumberFormat="1" applyFont="1" applyFill="1" applyBorder="1" applyAlignment="1">
      <alignment/>
    </xf>
    <xf numFmtId="3" fontId="3" fillId="4" borderId="14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176" fontId="3" fillId="4" borderId="9" xfId="0" applyNumberFormat="1" applyFont="1" applyFill="1" applyBorder="1" applyAlignment="1">
      <alignment vertical="center"/>
    </xf>
    <xf numFmtId="0" fontId="3" fillId="4" borderId="15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178" fontId="3" fillId="0" borderId="11" xfId="20" applyNumberFormat="1" applyFont="1" applyBorder="1" applyAlignment="1" applyProtection="1">
      <alignment/>
      <protection hidden="1"/>
    </xf>
    <xf numFmtId="178" fontId="3" fillId="2" borderId="1" xfId="20" applyNumberFormat="1" applyFont="1" applyFill="1" applyBorder="1" applyAlignment="1" applyProtection="1">
      <alignment/>
      <protection hidden="1"/>
    </xf>
    <xf numFmtId="178" fontId="0" fillId="0" borderId="3" xfId="20" applyNumberFormat="1" applyFont="1" applyBorder="1" applyAlignment="1" applyProtection="1">
      <alignment horizontal="center"/>
      <protection hidden="1"/>
    </xf>
    <xf numFmtId="178" fontId="3" fillId="0" borderId="4" xfId="20" applyNumberFormat="1" applyFont="1" applyBorder="1" applyAlignment="1" applyProtection="1">
      <alignment horizontal="center"/>
      <protection hidden="1"/>
    </xf>
    <xf numFmtId="178" fontId="0" fillId="0" borderId="0" xfId="20" applyNumberFormat="1" applyFont="1" applyAlignment="1" applyProtection="1">
      <alignment horizontal="center"/>
      <protection hidden="1"/>
    </xf>
    <xf numFmtId="178" fontId="0" fillId="0" borderId="0" xfId="20" applyNumberFormat="1" applyFont="1" applyBorder="1" applyAlignment="1" applyProtection="1">
      <alignment horizontal="center"/>
      <protection hidden="1"/>
    </xf>
    <xf numFmtId="178" fontId="3" fillId="3" borderId="4" xfId="20" applyNumberFormat="1" applyFont="1" applyFill="1" applyBorder="1" applyAlignment="1" applyProtection="1">
      <alignment horizontal="center"/>
      <protection hidden="1"/>
    </xf>
    <xf numFmtId="178" fontId="3" fillId="6" borderId="4" xfId="20" applyNumberFormat="1" applyFont="1" applyFill="1" applyBorder="1" applyAlignment="1" applyProtection="1">
      <alignment horizontal="center"/>
      <protection hidden="1"/>
    </xf>
    <xf numFmtId="0" fontId="3" fillId="0" borderId="4" xfId="0" applyFont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76" fontId="1" fillId="3" borderId="10" xfId="15" applyNumberFormat="1" applyFont="1" applyFill="1" applyBorder="1" applyAlignment="1" applyProtection="1">
      <alignment horizontal="center"/>
      <protection hidden="1"/>
    </xf>
    <xf numFmtId="176" fontId="1" fillId="3" borderId="4" xfId="15" applyNumberFormat="1" applyFont="1" applyFill="1" applyBorder="1" applyAlignment="1" applyProtection="1">
      <alignment horizontal="center"/>
      <protection hidden="1"/>
    </xf>
    <xf numFmtId="176" fontId="1" fillId="3" borderId="2" xfId="15" applyNumberFormat="1" applyFont="1" applyFill="1" applyBorder="1" applyAlignment="1" applyProtection="1">
      <alignment horizontal="center"/>
      <protection hidden="1"/>
    </xf>
    <xf numFmtId="176" fontId="1" fillId="0" borderId="2" xfId="15" applyNumberFormat="1" applyFont="1" applyBorder="1" applyAlignment="1" applyProtection="1">
      <alignment horizontal="right"/>
      <protection hidden="1"/>
    </xf>
    <xf numFmtId="176" fontId="1" fillId="0" borderId="5" xfId="15" applyNumberFormat="1" applyFont="1" applyBorder="1" applyAlignment="1" applyProtection="1">
      <alignment horizontal="right"/>
      <protection hidden="1"/>
    </xf>
    <xf numFmtId="176" fontId="1" fillId="0" borderId="3" xfId="15" applyNumberFormat="1" applyFont="1" applyBorder="1" applyAlignment="1" applyProtection="1">
      <alignment horizontal="right"/>
      <protection hidden="1"/>
    </xf>
    <xf numFmtId="176" fontId="1" fillId="0" borderId="1" xfId="15" applyNumberFormat="1" applyFont="1" applyBorder="1" applyAlignment="1" applyProtection="1">
      <alignment horizontal="right"/>
      <protection hidden="1"/>
    </xf>
    <xf numFmtId="176" fontId="1" fillId="0" borderId="6" xfId="15" applyNumberFormat="1" applyFont="1" applyBorder="1" applyAlignment="1" applyProtection="1">
      <alignment horizontal="right"/>
      <protection hidden="1"/>
    </xf>
    <xf numFmtId="176" fontId="2" fillId="0" borderId="4" xfId="15" applyNumberFormat="1" applyFont="1" applyBorder="1" applyAlignment="1" applyProtection="1">
      <alignment horizontal="right"/>
      <protection hidden="1"/>
    </xf>
    <xf numFmtId="176" fontId="2" fillId="0" borderId="3" xfId="15" applyNumberFormat="1" applyFont="1" applyBorder="1" applyAlignment="1" applyProtection="1">
      <alignment horizontal="right"/>
      <protection hidden="1"/>
    </xf>
    <xf numFmtId="176" fontId="2" fillId="0" borderId="1" xfId="15" applyNumberFormat="1" applyFont="1" applyFill="1" applyBorder="1" applyAlignment="1" applyProtection="1">
      <alignment/>
      <protection hidden="1"/>
    </xf>
    <xf numFmtId="176" fontId="1" fillId="0" borderId="3" xfId="15" applyNumberFormat="1" applyFont="1" applyFill="1" applyBorder="1" applyAlignment="1" applyProtection="1">
      <alignment horizontal="right"/>
      <protection hidden="1"/>
    </xf>
    <xf numFmtId="176" fontId="2" fillId="0" borderId="6" xfId="15" applyNumberFormat="1" applyFont="1" applyBorder="1" applyAlignment="1" applyProtection="1">
      <alignment horizontal="right"/>
      <protection hidden="1"/>
    </xf>
    <xf numFmtId="176" fontId="2" fillId="0" borderId="0" xfId="15" applyNumberFormat="1" applyFont="1" applyAlignment="1" applyProtection="1">
      <alignment horizontal="center"/>
      <protection hidden="1"/>
    </xf>
    <xf numFmtId="176" fontId="1" fillId="3" borderId="11" xfId="15" applyNumberFormat="1" applyFont="1" applyFill="1" applyBorder="1" applyAlignment="1" applyProtection="1">
      <alignment horizontal="center"/>
      <protection hidden="1"/>
    </xf>
    <xf numFmtId="176" fontId="1" fillId="0" borderId="0" xfId="15" applyNumberFormat="1" applyFont="1" applyAlignment="1" applyProtection="1">
      <alignment horizontal="right"/>
      <protection hidden="1"/>
    </xf>
    <xf numFmtId="176" fontId="2" fillId="0" borderId="11" xfId="15" applyNumberFormat="1" applyFont="1" applyBorder="1" applyAlignment="1" applyProtection="1">
      <alignment horizontal="right"/>
      <protection hidden="1"/>
    </xf>
    <xf numFmtId="176" fontId="0" fillId="0" borderId="2" xfId="15" applyNumberFormat="1" applyBorder="1" applyAlignment="1" applyProtection="1">
      <alignment/>
      <protection hidden="1"/>
    </xf>
    <xf numFmtId="176" fontId="0" fillId="0" borderId="3" xfId="15" applyNumberFormat="1" applyBorder="1" applyAlignment="1" applyProtection="1">
      <alignment/>
      <protection hidden="1"/>
    </xf>
    <xf numFmtId="176" fontId="0" fillId="0" borderId="3" xfId="15" applyNumberFormat="1" applyFont="1" applyBorder="1" applyAlignment="1" applyProtection="1">
      <alignment/>
      <protection hidden="1"/>
    </xf>
    <xf numFmtId="176" fontId="0" fillId="0" borderId="4" xfId="15" applyNumberFormat="1" applyBorder="1" applyAlignment="1" applyProtection="1">
      <alignment/>
      <protection hidden="1"/>
    </xf>
    <xf numFmtId="176" fontId="3" fillId="0" borderId="0" xfId="15" applyNumberFormat="1" applyFont="1" applyBorder="1" applyAlignment="1" applyProtection="1">
      <alignment/>
      <protection hidden="1"/>
    </xf>
    <xf numFmtId="176" fontId="0" fillId="0" borderId="0" xfId="15" applyNumberFormat="1" applyAlignment="1" applyProtection="1">
      <alignment/>
      <protection hidden="1"/>
    </xf>
    <xf numFmtId="176" fontId="0" fillId="3" borderId="12" xfId="20" applyNumberFormat="1" applyFill="1" applyBorder="1" applyAlignment="1" applyProtection="1">
      <alignment/>
      <protection hidden="1"/>
    </xf>
    <xf numFmtId="176" fontId="0" fillId="0" borderId="5" xfId="20" applyNumberFormat="1" applyBorder="1" applyAlignment="1" applyProtection="1">
      <alignment/>
      <protection hidden="1"/>
    </xf>
    <xf numFmtId="176" fontId="0" fillId="0" borderId="1" xfId="20" applyNumberFormat="1" applyFill="1" applyBorder="1" applyAlignment="1" applyProtection="1">
      <alignment/>
      <protection hidden="1"/>
    </xf>
    <xf numFmtId="176" fontId="0" fillId="0" borderId="8" xfId="20" applyNumberFormat="1" applyFill="1" applyBorder="1" applyAlignment="1" applyProtection="1">
      <alignment/>
      <protection hidden="1"/>
    </xf>
    <xf numFmtId="176" fontId="3" fillId="0" borderId="6" xfId="20" applyNumberFormat="1" applyFont="1" applyBorder="1" applyAlignment="1" applyProtection="1">
      <alignment/>
      <protection hidden="1"/>
    </xf>
    <xf numFmtId="176" fontId="3" fillId="0" borderId="1" xfId="20" applyNumberFormat="1" applyFont="1" applyBorder="1" applyAlignment="1" applyProtection="1">
      <alignment/>
      <protection hidden="1"/>
    </xf>
    <xf numFmtId="176" fontId="0" fillId="0" borderId="1" xfId="20" applyNumberFormat="1" applyBorder="1" applyAlignment="1" applyProtection="1">
      <alignment/>
      <protection hidden="1"/>
    </xf>
    <xf numFmtId="176" fontId="3" fillId="0" borderId="4" xfId="20" applyNumberFormat="1" applyFont="1" applyBorder="1" applyAlignment="1" applyProtection="1">
      <alignment/>
      <protection hidden="1"/>
    </xf>
    <xf numFmtId="176" fontId="5" fillId="0" borderId="1" xfId="20" applyNumberFormat="1" applyFont="1" applyFill="1" applyBorder="1" applyAlignment="1" applyProtection="1">
      <alignment/>
      <protection hidden="1"/>
    </xf>
    <xf numFmtId="176" fontId="3" fillId="0" borderId="8" xfId="20" applyNumberFormat="1" applyFont="1" applyBorder="1" applyAlignment="1" applyProtection="1">
      <alignment/>
      <protection hidden="1"/>
    </xf>
    <xf numFmtId="176" fontId="0" fillId="0" borderId="0" xfId="20" applyNumberFormat="1" applyAlignment="1" applyProtection="1">
      <alignment/>
      <protection hidden="1"/>
    </xf>
    <xf numFmtId="176" fontId="0" fillId="3" borderId="13" xfId="20" applyNumberFormat="1" applyFill="1" applyBorder="1" applyAlignment="1" applyProtection="1">
      <alignment/>
      <protection hidden="1"/>
    </xf>
    <xf numFmtId="176" fontId="0" fillId="0" borderId="2" xfId="20" applyNumberFormat="1" applyBorder="1" applyAlignment="1" applyProtection="1">
      <alignment/>
      <protection hidden="1"/>
    </xf>
    <xf numFmtId="176" fontId="0" fillId="0" borderId="3" xfId="20" applyNumberFormat="1" applyFill="1" applyBorder="1" applyAlignment="1" applyProtection="1">
      <alignment/>
      <protection hidden="1"/>
    </xf>
    <xf numFmtId="176" fontId="0" fillId="0" borderId="3" xfId="20" applyNumberFormat="1" applyBorder="1" applyAlignment="1" applyProtection="1">
      <alignment/>
      <protection hidden="1"/>
    </xf>
    <xf numFmtId="176" fontId="0" fillId="0" borderId="6" xfId="20" applyNumberFormat="1" applyBorder="1" applyAlignment="1" applyProtection="1">
      <alignment/>
      <protection hidden="1"/>
    </xf>
    <xf numFmtId="176" fontId="0" fillId="0" borderId="6" xfId="20" applyNumberFormat="1" applyFill="1" applyBorder="1" applyAlignment="1" applyProtection="1">
      <alignment/>
      <protection hidden="1"/>
    </xf>
    <xf numFmtId="176" fontId="5" fillId="0" borderId="3" xfId="20" applyNumberFormat="1" applyFont="1" applyFill="1" applyBorder="1" applyAlignment="1" applyProtection="1">
      <alignment/>
      <protection hidden="1"/>
    </xf>
    <xf numFmtId="176" fontId="3" fillId="0" borderId="3" xfId="20" applyNumberFormat="1" applyFont="1" applyBorder="1" applyAlignment="1" applyProtection="1">
      <alignment/>
      <protection hidden="1"/>
    </xf>
    <xf numFmtId="192" fontId="9" fillId="0" borderId="2" xfId="15" applyFont="1" applyBorder="1" applyAlignment="1" applyProtection="1">
      <alignment/>
      <protection hidden="1"/>
    </xf>
    <xf numFmtId="192" fontId="9" fillId="0" borderId="3" xfId="15" applyFont="1" applyBorder="1" applyAlignment="1" applyProtection="1">
      <alignment/>
      <protection hidden="1"/>
    </xf>
    <xf numFmtId="192" fontId="1" fillId="0" borderId="2" xfId="15" applyFont="1" applyBorder="1" applyAlignment="1" applyProtection="1">
      <alignment/>
      <protection hidden="1"/>
    </xf>
    <xf numFmtId="192" fontId="1" fillId="0" borderId="3" xfId="15" applyFont="1" applyBorder="1" applyAlignment="1" applyProtection="1">
      <alignment/>
      <protection hidden="1"/>
    </xf>
    <xf numFmtId="192" fontId="1" fillId="0" borderId="6" xfId="15" applyFont="1" applyBorder="1" applyAlignment="1" applyProtection="1">
      <alignment/>
      <protection hidden="1"/>
    </xf>
    <xf numFmtId="192" fontId="2" fillId="0" borderId="4" xfId="15" applyFont="1" applyBorder="1" applyAlignment="1" applyProtection="1">
      <alignment/>
      <protection hidden="1"/>
    </xf>
    <xf numFmtId="192" fontId="1" fillId="0" borderId="2" xfId="15" applyFont="1" applyFill="1" applyBorder="1" applyAlignment="1" applyProtection="1">
      <alignment/>
      <protection hidden="1"/>
    </xf>
    <xf numFmtId="192" fontId="1" fillId="0" borderId="3" xfId="15" applyFont="1" applyFill="1" applyBorder="1" applyAlignment="1" applyProtection="1">
      <alignment/>
      <protection hidden="1"/>
    </xf>
    <xf numFmtId="192" fontId="1" fillId="0" borderId="0" xfId="15" applyFont="1" applyAlignment="1" applyProtection="1">
      <alignment/>
      <protection hidden="1"/>
    </xf>
    <xf numFmtId="192" fontId="9" fillId="0" borderId="6" xfId="15" applyFont="1" applyBorder="1" applyAlignment="1" applyProtection="1">
      <alignment/>
      <protection hidden="1"/>
    </xf>
    <xf numFmtId="192" fontId="1" fillId="0" borderId="4" xfId="15" applyFont="1" applyBorder="1" applyAlignment="1" applyProtection="1">
      <alignment/>
      <protection hidden="1"/>
    </xf>
    <xf numFmtId="178" fontId="3" fillId="6" borderId="4" xfId="20" applyNumberFormat="1" applyFont="1" applyFill="1" applyBorder="1" applyAlignment="1" applyProtection="1">
      <alignment horizontal="right"/>
      <protection hidden="1"/>
    </xf>
    <xf numFmtId="176" fontId="0" fillId="0" borderId="3" xfId="0" applyNumberFormat="1" applyBorder="1" applyAlignment="1" applyProtection="1">
      <alignment/>
      <protection hidden="1"/>
    </xf>
    <xf numFmtId="4" fontId="3" fillId="4" borderId="10" xfId="0" applyNumberFormat="1" applyFont="1" applyFill="1" applyBorder="1" applyAlignment="1">
      <alignment vertical="center"/>
    </xf>
    <xf numFmtId="176" fontId="3" fillId="4" borderId="7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3" fillId="4" borderId="4" xfId="0" applyFont="1" applyFill="1" applyBorder="1" applyAlignment="1" applyProtection="1">
      <alignment/>
      <protection hidden="1"/>
    </xf>
    <xf numFmtId="176" fontId="3" fillId="4" borderId="4" xfId="15" applyNumberFormat="1" applyFont="1" applyFill="1" applyBorder="1" applyAlignment="1" applyProtection="1">
      <alignment/>
      <protection hidden="1"/>
    </xf>
    <xf numFmtId="0" fontId="2" fillId="4" borderId="4" xfId="0" applyFont="1" applyFill="1" applyBorder="1" applyAlignment="1" applyProtection="1">
      <alignment/>
      <protection hidden="1"/>
    </xf>
    <xf numFmtId="192" fontId="2" fillId="4" borderId="4" xfId="15" applyFont="1" applyFill="1" applyBorder="1" applyAlignment="1" applyProtection="1">
      <alignment/>
      <protection hidden="1"/>
    </xf>
    <xf numFmtId="0" fontId="2" fillId="4" borderId="10" xfId="0" applyFont="1" applyFill="1" applyBorder="1" applyAlignment="1" applyProtection="1">
      <alignment/>
      <protection hidden="1"/>
    </xf>
    <xf numFmtId="0" fontId="0" fillId="4" borderId="4" xfId="0" applyFill="1" applyBorder="1" applyAlignment="1" applyProtection="1">
      <alignment/>
      <protection hidden="1"/>
    </xf>
    <xf numFmtId="0" fontId="0" fillId="4" borderId="11" xfId="0" applyFill="1" applyBorder="1" applyAlignment="1" applyProtection="1">
      <alignment/>
      <protection hidden="1"/>
    </xf>
    <xf numFmtId="10" fontId="0" fillId="4" borderId="10" xfId="22" applyNumberFormat="1" applyFill="1" applyBorder="1" applyAlignment="1" applyProtection="1">
      <alignment/>
      <protection hidden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0" fillId="2" borderId="0" xfId="0" applyFill="1" applyAlignment="1" applyProtection="1">
      <alignment/>
      <protection locked="0"/>
    </xf>
    <xf numFmtId="0" fontId="28" fillId="2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4" fontId="3" fillId="0" borderId="14" xfId="0" applyNumberFormat="1" applyFont="1" applyFill="1" applyBorder="1" applyAlignment="1">
      <alignment horizontal="center" vertical="center"/>
    </xf>
    <xf numFmtId="205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176" fontId="3" fillId="4" borderId="10" xfId="0" applyNumberFormat="1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205" fontId="3" fillId="0" borderId="0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178" fontId="2" fillId="0" borderId="2" xfId="0" applyNumberFormat="1" applyFont="1" applyBorder="1" applyAlignment="1" applyProtection="1">
      <alignment/>
      <protection hidden="1"/>
    </xf>
    <xf numFmtId="178" fontId="2" fillId="0" borderId="2" xfId="20" applyNumberFormat="1" applyFont="1" applyBorder="1" applyAlignment="1" applyProtection="1">
      <alignment/>
      <protection hidden="1"/>
    </xf>
    <xf numFmtId="178" fontId="2" fillId="0" borderId="4" xfId="0" applyNumberFormat="1" applyFont="1" applyBorder="1" applyAlignment="1" applyProtection="1">
      <alignment/>
      <protection hidden="1"/>
    </xf>
    <xf numFmtId="178" fontId="2" fillId="0" borderId="4" xfId="2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0" fontId="2" fillId="0" borderId="0" xfId="20" applyFont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178" fontId="2" fillId="0" borderId="3" xfId="20" applyNumberFormat="1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192" fontId="2" fillId="0" borderId="5" xfId="15" applyFont="1" applyBorder="1" applyAlignment="1" applyProtection="1">
      <alignment/>
      <protection hidden="1"/>
    </xf>
    <xf numFmtId="192" fontId="2" fillId="0" borderId="2" xfId="15" applyFont="1" applyBorder="1" applyAlignment="1" applyProtection="1">
      <alignment/>
      <protection hidden="1"/>
    </xf>
    <xf numFmtId="192" fontId="2" fillId="0" borderId="1" xfId="15" applyFont="1" applyBorder="1" applyAlignment="1" applyProtection="1">
      <alignment/>
      <protection hidden="1"/>
    </xf>
    <xf numFmtId="192" fontId="2" fillId="0" borderId="3" xfId="15" applyFont="1" applyBorder="1" applyAlignment="1" applyProtection="1">
      <alignment/>
      <protection hidden="1"/>
    </xf>
    <xf numFmtId="192" fontId="2" fillId="0" borderId="6" xfId="15" applyFont="1" applyBorder="1" applyAlignment="1" applyProtection="1">
      <alignment/>
      <protection hidden="1"/>
    </xf>
    <xf numFmtId="170" fontId="2" fillId="2" borderId="4" xfId="20" applyFont="1" applyFill="1" applyBorder="1" applyAlignment="1" applyProtection="1">
      <alignment/>
      <protection hidden="1"/>
    </xf>
    <xf numFmtId="170" fontId="2" fillId="0" borderId="6" xfId="20" applyFont="1" applyBorder="1" applyAlignment="1" applyProtection="1">
      <alignment/>
      <protection hidden="1"/>
    </xf>
    <xf numFmtId="179" fontId="1" fillId="0" borderId="3" xfId="20" applyNumberFormat="1" applyFont="1" applyBorder="1" applyAlignment="1" applyProtection="1">
      <alignment horizontal="right"/>
      <protection hidden="1"/>
    </xf>
    <xf numFmtId="0" fontId="10" fillId="0" borderId="0" xfId="0" applyFont="1" applyBorder="1" applyAlignment="1">
      <alignment horizontal="center"/>
    </xf>
    <xf numFmtId="3" fontId="12" fillId="0" borderId="0" xfId="0" applyNumberFormat="1" applyFont="1" applyAlignment="1">
      <alignment/>
    </xf>
    <xf numFmtId="176" fontId="10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77" fontId="12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2" fillId="0" borderId="0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2" fontId="3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12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8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31" fillId="0" borderId="0" xfId="0" applyNumberFormat="1" applyFont="1" applyAlignment="1">
      <alignment/>
    </xf>
    <xf numFmtId="176" fontId="10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7" borderId="2" xfId="0" applyFont="1" applyFill="1" applyBorder="1" applyAlignment="1" applyProtection="1">
      <alignment/>
      <protection locked="0"/>
    </xf>
    <xf numFmtId="0" fontId="3" fillId="7" borderId="2" xfId="0" applyFont="1" applyFill="1" applyBorder="1" applyAlignment="1" applyProtection="1">
      <alignment horizontal="left"/>
      <protection locked="0"/>
    </xf>
    <xf numFmtId="176" fontId="3" fillId="7" borderId="5" xfId="0" applyNumberFormat="1" applyFont="1" applyFill="1" applyBorder="1" applyAlignment="1" applyProtection="1">
      <alignment/>
      <protection locked="0"/>
    </xf>
    <xf numFmtId="0" fontId="3" fillId="8" borderId="3" xfId="0" applyFont="1" applyFill="1" applyBorder="1" applyAlignment="1" applyProtection="1">
      <alignment/>
      <protection locked="0"/>
    </xf>
    <xf numFmtId="0" fontId="3" fillId="8" borderId="3" xfId="0" applyFont="1" applyFill="1" applyBorder="1" applyAlignment="1" applyProtection="1">
      <alignment horizontal="left"/>
      <protection locked="0"/>
    </xf>
    <xf numFmtId="176" fontId="3" fillId="8" borderId="1" xfId="0" applyNumberFormat="1" applyFont="1" applyFill="1" applyBorder="1" applyAlignment="1" applyProtection="1">
      <alignment/>
      <protection locked="0"/>
    </xf>
    <xf numFmtId="0" fontId="3" fillId="7" borderId="3" xfId="0" applyFont="1" applyFill="1" applyBorder="1" applyAlignment="1" applyProtection="1">
      <alignment/>
      <protection locked="0"/>
    </xf>
    <xf numFmtId="0" fontId="3" fillId="7" borderId="3" xfId="0" applyFont="1" applyFill="1" applyBorder="1" applyAlignment="1" applyProtection="1">
      <alignment horizontal="left"/>
      <protection locked="0"/>
    </xf>
    <xf numFmtId="176" fontId="3" fillId="7" borderId="1" xfId="0" applyNumberFormat="1" applyFont="1" applyFill="1" applyBorder="1" applyAlignment="1" applyProtection="1">
      <alignment/>
      <protection locked="0"/>
    </xf>
    <xf numFmtId="0" fontId="3" fillId="8" borderId="6" xfId="0" applyFont="1" applyFill="1" applyBorder="1" applyAlignment="1" applyProtection="1">
      <alignment/>
      <protection locked="0"/>
    </xf>
    <xf numFmtId="0" fontId="3" fillId="8" borderId="6" xfId="0" applyFont="1" applyFill="1" applyBorder="1" applyAlignment="1" applyProtection="1">
      <alignment horizontal="left"/>
      <protection locked="0"/>
    </xf>
    <xf numFmtId="176" fontId="3" fillId="8" borderId="8" xfId="0" applyNumberFormat="1" applyFont="1" applyFill="1" applyBorder="1" applyAlignment="1" applyProtection="1">
      <alignment/>
      <protection locked="0"/>
    </xf>
    <xf numFmtId="0" fontId="3" fillId="7" borderId="0" xfId="0" applyFont="1" applyFill="1" applyAlignment="1" applyProtection="1">
      <alignment horizontal="center" vertical="center"/>
      <protection locked="0"/>
    </xf>
    <xf numFmtId="176" fontId="3" fillId="7" borderId="10" xfId="0" applyNumberFormat="1" applyFont="1" applyFill="1" applyBorder="1" applyAlignment="1" applyProtection="1">
      <alignment/>
      <protection locked="0"/>
    </xf>
    <xf numFmtId="176" fontId="3" fillId="7" borderId="7" xfId="0" applyNumberFormat="1" applyFont="1" applyFill="1" applyBorder="1" applyAlignment="1" applyProtection="1">
      <alignment/>
      <protection locked="0"/>
    </xf>
    <xf numFmtId="3" fontId="3" fillId="7" borderId="4" xfId="0" applyNumberFormat="1" applyFont="1" applyFill="1" applyBorder="1" applyAlignment="1" applyProtection="1">
      <alignment horizontal="center" vertical="center"/>
      <protection locked="0"/>
    </xf>
    <xf numFmtId="3" fontId="3" fillId="7" borderId="9" xfId="0" applyNumberFormat="1" applyFont="1" applyFill="1" applyBorder="1" applyAlignment="1" applyProtection="1">
      <alignment horizontal="center" vertical="center"/>
      <protection locked="0"/>
    </xf>
    <xf numFmtId="3" fontId="3" fillId="7" borderId="4" xfId="0" applyNumberFormat="1" applyFont="1" applyFill="1" applyBorder="1" applyAlignment="1" applyProtection="1">
      <alignment vertical="center"/>
      <protection locked="0"/>
    </xf>
    <xf numFmtId="1" fontId="3" fillId="7" borderId="5" xfId="0" applyNumberFormat="1" applyFont="1" applyFill="1" applyBorder="1" applyAlignment="1" applyProtection="1">
      <alignment horizontal="center"/>
      <protection hidden="1" locked="0"/>
    </xf>
    <xf numFmtId="176" fontId="3" fillId="7" borderId="13" xfId="0" applyNumberFormat="1" applyFont="1" applyFill="1" applyBorder="1" applyAlignment="1" applyProtection="1">
      <alignment/>
      <protection hidden="1" locked="0"/>
    </xf>
    <xf numFmtId="0" fontId="3" fillId="7" borderId="13" xfId="0" applyFont="1" applyFill="1" applyBorder="1" applyAlignment="1" applyProtection="1">
      <alignment horizontal="center"/>
      <protection hidden="1" locked="0"/>
    </xf>
    <xf numFmtId="176" fontId="3" fillId="7" borderId="2" xfId="0" applyNumberFormat="1" applyFont="1" applyFill="1" applyBorder="1" applyAlignment="1" applyProtection="1">
      <alignment/>
      <protection hidden="1"/>
    </xf>
    <xf numFmtId="1" fontId="3" fillId="9" borderId="1" xfId="0" applyNumberFormat="1" applyFont="1" applyFill="1" applyBorder="1" applyAlignment="1" applyProtection="1">
      <alignment horizontal="center"/>
      <protection hidden="1" locked="0"/>
    </xf>
    <xf numFmtId="176" fontId="3" fillId="9" borderId="9" xfId="0" applyNumberFormat="1" applyFont="1" applyFill="1" applyBorder="1" applyAlignment="1" applyProtection="1">
      <alignment/>
      <protection hidden="1" locked="0"/>
    </xf>
    <xf numFmtId="0" fontId="3" fillId="8" borderId="9" xfId="0" applyFont="1" applyFill="1" applyBorder="1" applyAlignment="1" applyProtection="1">
      <alignment horizontal="center"/>
      <protection hidden="1" locked="0"/>
    </xf>
    <xf numFmtId="176" fontId="3" fillId="8" borderId="3" xfId="0" applyNumberFormat="1" applyFont="1" applyFill="1" applyBorder="1" applyAlignment="1" applyProtection="1">
      <alignment/>
      <protection hidden="1"/>
    </xf>
    <xf numFmtId="1" fontId="3" fillId="7" borderId="1" xfId="0" applyNumberFormat="1" applyFont="1" applyFill="1" applyBorder="1" applyAlignment="1" applyProtection="1">
      <alignment horizontal="center"/>
      <protection hidden="1" locked="0"/>
    </xf>
    <xf numFmtId="176" fontId="3" fillId="7" borderId="9" xfId="0" applyNumberFormat="1" applyFont="1" applyFill="1" applyBorder="1" applyAlignment="1" applyProtection="1">
      <alignment/>
      <protection hidden="1" locked="0"/>
    </xf>
    <xf numFmtId="0" fontId="3" fillId="7" borderId="9" xfId="0" applyFont="1" applyFill="1" applyBorder="1" applyAlignment="1" applyProtection="1">
      <alignment horizontal="center"/>
      <protection hidden="1" locked="0"/>
    </xf>
    <xf numFmtId="176" fontId="3" fillId="7" borderId="3" xfId="0" applyNumberFormat="1" applyFont="1" applyFill="1" applyBorder="1" applyAlignment="1" applyProtection="1">
      <alignment/>
      <protection hidden="1"/>
    </xf>
    <xf numFmtId="1" fontId="3" fillId="9" borderId="8" xfId="0" applyNumberFormat="1" applyFont="1" applyFill="1" applyBorder="1" applyAlignment="1" applyProtection="1">
      <alignment horizontal="center"/>
      <protection hidden="1" locked="0"/>
    </xf>
    <xf numFmtId="176" fontId="3" fillId="9" borderId="7" xfId="0" applyNumberFormat="1" applyFont="1" applyFill="1" applyBorder="1" applyAlignment="1" applyProtection="1">
      <alignment/>
      <protection hidden="1" locked="0"/>
    </xf>
    <xf numFmtId="0" fontId="3" fillId="8" borderId="7" xfId="0" applyFont="1" applyFill="1" applyBorder="1" applyAlignment="1" applyProtection="1">
      <alignment horizontal="center"/>
      <protection hidden="1" locked="0"/>
    </xf>
    <xf numFmtId="176" fontId="3" fillId="8" borderId="6" xfId="0" applyNumberFormat="1" applyFont="1" applyFill="1" applyBorder="1" applyAlignment="1" applyProtection="1">
      <alignment/>
      <protection hidden="1"/>
    </xf>
    <xf numFmtId="176" fontId="3" fillId="7" borderId="2" xfId="0" applyNumberFormat="1" applyFont="1" applyFill="1" applyBorder="1" applyAlignment="1" applyProtection="1">
      <alignment horizontal="right" vertical="center"/>
      <protection hidden="1" locked="0"/>
    </xf>
    <xf numFmtId="176" fontId="3" fillId="8" borderId="3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3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3" xfId="0" applyNumberFormat="1" applyFont="1" applyFill="1" applyBorder="1" applyAlignment="1" applyProtection="1">
      <alignment horizontal="right" vertical="center"/>
      <protection hidden="1"/>
    </xf>
    <xf numFmtId="176" fontId="3" fillId="0" borderId="4" xfId="0" applyNumberFormat="1" applyFont="1" applyBorder="1" applyAlignment="1" applyProtection="1">
      <alignment horizontal="right" vertical="center"/>
      <protection hidden="1"/>
    </xf>
    <xf numFmtId="176" fontId="3" fillId="0" borderId="10" xfId="0" applyNumberFormat="1" applyFont="1" applyBorder="1" applyAlignment="1" applyProtection="1">
      <alignment horizontal="right" vertical="center"/>
      <protection hidden="1"/>
    </xf>
    <xf numFmtId="0" fontId="3" fillId="10" borderId="4" xfId="0" applyFont="1" applyFill="1" applyBorder="1" applyAlignment="1" applyProtection="1">
      <alignment horizontal="center" vertical="center"/>
      <protection hidden="1" locked="0"/>
    </xf>
    <xf numFmtId="176" fontId="3" fillId="0" borderId="4" xfId="0" applyNumberFormat="1" applyFont="1" applyBorder="1" applyAlignment="1" applyProtection="1">
      <alignment vertical="center"/>
      <protection hidden="1"/>
    </xf>
    <xf numFmtId="176" fontId="3" fillId="0" borderId="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176" fontId="3" fillId="0" borderId="0" xfId="0" applyNumberFormat="1" applyFont="1" applyBorder="1" applyAlignment="1" applyProtection="1">
      <alignment/>
      <protection hidden="1"/>
    </xf>
    <xf numFmtId="0" fontId="21" fillId="8" borderId="5" xfId="0" applyFont="1" applyFill="1" applyBorder="1" applyAlignment="1" applyProtection="1">
      <alignment/>
      <protection hidden="1"/>
    </xf>
    <xf numFmtId="0" fontId="21" fillId="8" borderId="12" xfId="0" applyFont="1" applyFill="1" applyBorder="1" applyAlignment="1" applyProtection="1">
      <alignment/>
      <protection hidden="1"/>
    </xf>
    <xf numFmtId="0" fontId="21" fillId="8" borderId="13" xfId="0" applyFont="1" applyFill="1" applyBorder="1" applyAlignment="1" applyProtection="1">
      <alignment/>
      <protection hidden="1"/>
    </xf>
    <xf numFmtId="176" fontId="21" fillId="8" borderId="9" xfId="0" applyNumberFormat="1" applyFont="1" applyFill="1" applyBorder="1" applyAlignment="1" applyProtection="1">
      <alignment horizontal="center"/>
      <protection hidden="1"/>
    </xf>
    <xf numFmtId="0" fontId="21" fillId="8" borderId="8" xfId="0" applyFont="1" applyFill="1" applyBorder="1" applyAlignment="1" applyProtection="1">
      <alignment/>
      <protection hidden="1"/>
    </xf>
    <xf numFmtId="0" fontId="21" fillId="8" borderId="14" xfId="0" applyFont="1" applyFill="1" applyBorder="1" applyAlignment="1" applyProtection="1">
      <alignment/>
      <protection hidden="1"/>
    </xf>
    <xf numFmtId="176" fontId="21" fillId="8" borderId="7" xfId="0" applyNumberFormat="1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176" fontId="3" fillId="0" borderId="0" xfId="0" applyNumberFormat="1" applyFont="1" applyAlignment="1" applyProtection="1">
      <alignment/>
      <protection hidden="1"/>
    </xf>
    <xf numFmtId="0" fontId="3" fillId="11" borderId="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8" borderId="15" xfId="0" applyFont="1" applyFill="1" applyBorder="1" applyAlignment="1" applyProtection="1">
      <alignment horizontal="center" vertical="center"/>
      <protection hidden="1"/>
    </xf>
    <xf numFmtId="0" fontId="3" fillId="8" borderId="11" xfId="0" applyFont="1" applyFill="1" applyBorder="1" applyAlignment="1" applyProtection="1">
      <alignment horizontal="right" vertical="center"/>
      <protection hidden="1"/>
    </xf>
    <xf numFmtId="0" fontId="3" fillId="8" borderId="10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70" fontId="0" fillId="2" borderId="0" xfId="20" applyFill="1" applyBorder="1" applyAlignment="1" applyProtection="1">
      <alignment horizontal="center" vertical="center"/>
      <protection hidden="1"/>
    </xf>
    <xf numFmtId="170" fontId="0" fillId="0" borderId="0" xfId="20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10" fontId="3" fillId="2" borderId="3" xfId="20" applyNumberFormat="1" applyFont="1" applyFill="1" applyBorder="1" applyAlignment="1" applyProtection="1">
      <alignment horizontal="right"/>
      <protection hidden="1"/>
    </xf>
    <xf numFmtId="173" fontId="3" fillId="2" borderId="3" xfId="20" applyNumberFormat="1" applyFont="1" applyFill="1" applyBorder="1" applyAlignment="1" applyProtection="1">
      <alignment horizontal="right"/>
      <protection hidden="1"/>
    </xf>
    <xf numFmtId="0" fontId="3" fillId="0" borderId="8" xfId="0" applyFont="1" applyFill="1" applyBorder="1" applyAlignment="1" applyProtection="1">
      <alignment/>
      <protection hidden="1"/>
    </xf>
    <xf numFmtId="0" fontId="3" fillId="0" borderId="5" xfId="0" applyFont="1" applyFill="1" applyBorder="1" applyAlignment="1" applyProtection="1">
      <alignment/>
      <protection hidden="1"/>
    </xf>
    <xf numFmtId="178" fontId="3" fillId="2" borderId="2" xfId="2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/>
      <protection hidden="1"/>
    </xf>
    <xf numFmtId="178" fontId="3" fillId="2" borderId="4" xfId="20" applyNumberFormat="1" applyFont="1" applyFill="1" applyBorder="1" applyAlignment="1" applyProtection="1">
      <alignment horizontal="center" vertical="center"/>
      <protection hidden="1"/>
    </xf>
    <xf numFmtId="170" fontId="0" fillId="0" borderId="0" xfId="20" applyFill="1" applyBorder="1" applyAlignment="1" applyProtection="1">
      <alignment horizontal="center" vertical="center"/>
      <protection hidden="1"/>
    </xf>
    <xf numFmtId="178" fontId="3" fillId="2" borderId="5" xfId="20" applyNumberFormat="1" applyFont="1" applyFill="1" applyBorder="1" applyAlignment="1" applyProtection="1">
      <alignment/>
      <protection hidden="1"/>
    </xf>
    <xf numFmtId="170" fontId="0" fillId="0" borderId="0" xfId="20" applyAlignment="1" applyProtection="1">
      <alignment/>
      <protection hidden="1"/>
    </xf>
    <xf numFmtId="0" fontId="3" fillId="4" borderId="11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170" fontId="1" fillId="0" borderId="0" xfId="20" applyFont="1" applyAlignment="1" applyProtection="1">
      <alignment/>
      <protection hidden="1"/>
    </xf>
    <xf numFmtId="178" fontId="2" fillId="2" borderId="4" xfId="20" applyNumberFormat="1" applyFont="1" applyFill="1" applyBorder="1" applyAlignment="1" applyProtection="1">
      <alignment/>
      <protection hidden="1"/>
    </xf>
    <xf numFmtId="178" fontId="2" fillId="2" borderId="4" xfId="2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170" fontId="1" fillId="0" borderId="0" xfId="20" applyFont="1" applyBorder="1" applyAlignment="1" applyProtection="1">
      <alignment/>
      <protection hidden="1"/>
    </xf>
    <xf numFmtId="170" fontId="2" fillId="0" borderId="12" xfId="20" applyFont="1" applyBorder="1" applyAlignment="1" applyProtection="1">
      <alignment horizontal="center"/>
      <protection hidden="1"/>
    </xf>
    <xf numFmtId="170" fontId="2" fillId="0" borderId="2" xfId="2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/>
      <protection hidden="1"/>
    </xf>
    <xf numFmtId="170" fontId="2" fillId="0" borderId="14" xfId="20" applyFont="1" applyBorder="1" applyAlignment="1" applyProtection="1">
      <alignment horizontal="center"/>
      <protection hidden="1"/>
    </xf>
    <xf numFmtId="170" fontId="2" fillId="0" borderId="3" xfId="20" applyFont="1" applyBorder="1" applyAlignment="1" applyProtection="1">
      <alignment horizontal="center"/>
      <protection hidden="1"/>
    </xf>
    <xf numFmtId="192" fontId="2" fillId="2" borderId="2" xfId="15" applyFont="1" applyFill="1" applyBorder="1" applyAlignment="1" applyProtection="1">
      <alignment/>
      <protection hidden="1"/>
    </xf>
    <xf numFmtId="192" fontId="2" fillId="2" borderId="12" xfId="15" applyFont="1" applyFill="1" applyBorder="1" applyAlignment="1" applyProtection="1">
      <alignment/>
      <protection hidden="1"/>
    </xf>
    <xf numFmtId="192" fontId="2" fillId="2" borderId="3" xfId="15" applyFont="1" applyFill="1" applyBorder="1" applyAlignment="1" applyProtection="1">
      <alignment/>
      <protection hidden="1"/>
    </xf>
    <xf numFmtId="192" fontId="2" fillId="2" borderId="0" xfId="15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170" fontId="1" fillId="0" borderId="0" xfId="20" applyFont="1" applyBorder="1" applyAlignment="1" applyProtection="1">
      <alignment horizontal="center"/>
      <protection hidden="1"/>
    </xf>
    <xf numFmtId="170" fontId="1" fillId="0" borderId="0" xfId="2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170" fontId="2" fillId="0" borderId="0" xfId="20" applyFont="1" applyBorder="1" applyAlignment="1" applyProtection="1">
      <alignment/>
      <protection hidden="1"/>
    </xf>
    <xf numFmtId="176" fontId="1" fillId="0" borderId="1" xfId="15" applyNumberFormat="1" applyFont="1" applyBorder="1" applyAlignment="1" applyProtection="1">
      <alignment horizontal="right"/>
      <protection locked="0"/>
    </xf>
    <xf numFmtId="0" fontId="3" fillId="7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3" fillId="4" borderId="10" xfId="0" applyFont="1" applyFill="1" applyBorder="1" applyAlignment="1">
      <alignment horizontal="center"/>
    </xf>
    <xf numFmtId="192" fontId="0" fillId="0" borderId="0" xfId="0" applyNumberFormat="1" applyAlignment="1" applyProtection="1">
      <alignment/>
      <protection hidden="1"/>
    </xf>
    <xf numFmtId="3" fontId="3" fillId="2" borderId="4" xfId="0" applyNumberFormat="1" applyFont="1" applyFill="1" applyBorder="1" applyAlignment="1">
      <alignment vertical="center"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0" fontId="3" fillId="7" borderId="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4" borderId="0" xfId="0" applyFont="1" applyFill="1" applyAlignment="1">
      <alignment/>
    </xf>
    <xf numFmtId="3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1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vertical="center"/>
      <protection hidden="1"/>
    </xf>
    <xf numFmtId="3" fontId="3" fillId="0" borderId="4" xfId="0" applyNumberFormat="1" applyFont="1" applyBorder="1" applyAlignment="1">
      <alignment/>
    </xf>
    <xf numFmtId="0" fontId="3" fillId="4" borderId="4" xfId="0" applyFont="1" applyFill="1" applyBorder="1" applyAlignment="1">
      <alignment horizontal="center"/>
    </xf>
    <xf numFmtId="178" fontId="10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178" fontId="10" fillId="0" borderId="0" xfId="0" applyNumberFormat="1" applyFont="1" applyBorder="1" applyAlignment="1" applyProtection="1">
      <alignment horizontal="center"/>
      <protection hidden="1"/>
    </xf>
    <xf numFmtId="194" fontId="10" fillId="0" borderId="0" xfId="0" applyNumberFormat="1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/>
      <protection hidden="1"/>
    </xf>
    <xf numFmtId="170" fontId="10" fillId="0" borderId="0" xfId="0" applyNumberFormat="1" applyFont="1" applyAlignment="1" applyProtection="1">
      <alignment/>
      <protection hidden="1"/>
    </xf>
    <xf numFmtId="170" fontId="10" fillId="0" borderId="0" xfId="0" applyNumberFormat="1" applyFont="1" applyAlignment="1" applyProtection="1">
      <alignment/>
      <protection hidden="1"/>
    </xf>
    <xf numFmtId="4" fontId="10" fillId="0" borderId="0" xfId="0" applyNumberFormat="1" applyFont="1" applyAlignment="1" applyProtection="1">
      <alignment/>
      <protection hidden="1"/>
    </xf>
    <xf numFmtId="0" fontId="10" fillId="0" borderId="0" xfId="0" applyNumberFormat="1" applyFont="1" applyAlignment="1" applyProtection="1">
      <alignment/>
      <protection hidden="1"/>
    </xf>
    <xf numFmtId="0" fontId="10" fillId="2" borderId="0" xfId="0" applyFont="1" applyFill="1" applyAlignment="1" applyProtection="1">
      <alignment/>
      <protection locked="0"/>
    </xf>
    <xf numFmtId="170" fontId="33" fillId="2" borderId="0" xfId="20" applyFont="1" applyFill="1" applyBorder="1" applyAlignment="1" applyProtection="1">
      <alignment/>
      <protection locked="0"/>
    </xf>
    <xf numFmtId="0" fontId="33" fillId="2" borderId="0" xfId="0" applyFont="1" applyFill="1" applyBorder="1" applyAlignment="1" applyProtection="1">
      <alignment/>
      <protection locked="0"/>
    </xf>
    <xf numFmtId="3" fontId="3" fillId="7" borderId="4" xfId="0" applyNumberFormat="1" applyFont="1" applyFill="1" applyBorder="1" applyAlignment="1" applyProtection="1">
      <alignment horizontal="right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hidden="1"/>
    </xf>
    <xf numFmtId="176" fontId="3" fillId="0" borderId="4" xfId="18" applyNumberFormat="1" applyFont="1" applyFill="1" applyBorder="1" applyAlignment="1" applyProtection="1">
      <alignment vertical="center"/>
      <protection hidden="1"/>
    </xf>
    <xf numFmtId="176" fontId="3" fillId="0" borderId="4" xfId="18" applyNumberFormat="1" applyFont="1" applyFill="1" applyBorder="1" applyAlignment="1" applyProtection="1">
      <alignment horizontal="right" vertical="center"/>
      <protection hidden="1"/>
    </xf>
    <xf numFmtId="1" fontId="3" fillId="0" borderId="4" xfId="0" applyNumberFormat="1" applyFont="1" applyFill="1" applyBorder="1" applyAlignment="1" applyProtection="1">
      <alignment horizontal="center" vertical="center"/>
      <protection hidden="1"/>
    </xf>
    <xf numFmtId="1" fontId="3" fillId="0" borderId="6" xfId="0" applyNumberFormat="1" applyFont="1" applyFill="1" applyBorder="1" applyAlignment="1" applyProtection="1">
      <alignment horizontal="center" vertical="center"/>
      <protection hidden="1"/>
    </xf>
    <xf numFmtId="176" fontId="3" fillId="0" borderId="6" xfId="18" applyNumberFormat="1" applyFont="1" applyFill="1" applyBorder="1" applyAlignment="1" applyProtection="1">
      <alignment vertical="center"/>
      <protection hidden="1"/>
    </xf>
    <xf numFmtId="176" fontId="3" fillId="0" borderId="6" xfId="18" applyNumberFormat="1" applyFont="1" applyFill="1" applyBorder="1" applyAlignment="1" applyProtection="1">
      <alignment horizontal="right" vertical="center"/>
      <protection hidden="1"/>
    </xf>
    <xf numFmtId="171" fontId="3" fillId="0" borderId="4" xfId="0" applyNumberFormat="1" applyFont="1" applyFill="1" applyBorder="1" applyAlignment="1" applyProtection="1">
      <alignment vertical="center"/>
      <protection hidden="1"/>
    </xf>
    <xf numFmtId="171" fontId="3" fillId="0" borderId="10" xfId="0" applyNumberFormat="1" applyFont="1" applyFill="1" applyBorder="1" applyAlignment="1" applyProtection="1">
      <alignment vertical="center"/>
      <protection hidden="1"/>
    </xf>
    <xf numFmtId="176" fontId="3" fillId="0" borderId="4" xfId="0" applyNumberFormat="1" applyFont="1" applyFill="1" applyBorder="1" applyAlignment="1" applyProtection="1">
      <alignment vertical="center"/>
      <protection hidden="1"/>
    </xf>
    <xf numFmtId="176" fontId="3" fillId="0" borderId="0" xfId="18" applyNumberFormat="1" applyFont="1" applyFill="1" applyBorder="1" applyAlignment="1" applyProtection="1">
      <alignment vertical="center"/>
      <protection hidden="1"/>
    </xf>
    <xf numFmtId="10" fontId="3" fillId="0" borderId="0" xfId="22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vertical="center"/>
      <protection hidden="1" locked="0"/>
    </xf>
    <xf numFmtId="176" fontId="10" fillId="0" borderId="0" xfId="0" applyNumberFormat="1" applyFont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176" fontId="10" fillId="0" borderId="0" xfId="0" applyNumberFormat="1" applyFont="1" applyAlignment="1">
      <alignment/>
    </xf>
    <xf numFmtId="176" fontId="3" fillId="7" borderId="4" xfId="0" applyNumberFormat="1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3" fontId="3" fillId="7" borderId="16" xfId="0" applyNumberFormat="1" applyFont="1" applyFill="1" applyBorder="1" applyAlignment="1" applyProtection="1">
      <alignment horizontal="right" vertical="center"/>
      <protection locked="0"/>
    </xf>
    <xf numFmtId="3" fontId="3" fillId="2" borderId="17" xfId="0" applyNumberFormat="1" applyFont="1" applyFill="1" applyBorder="1" applyAlignment="1">
      <alignment horizontal="right" vertical="center"/>
    </xf>
    <xf numFmtId="3" fontId="3" fillId="7" borderId="0" xfId="0" applyNumberFormat="1" applyFont="1" applyFill="1" applyBorder="1" applyAlignment="1" applyProtection="1">
      <alignment horizontal="right" vertical="center"/>
      <protection locked="0"/>
    </xf>
    <xf numFmtId="4" fontId="3" fillId="2" borderId="16" xfId="0" applyNumberFormat="1" applyFont="1" applyFill="1" applyBorder="1" applyAlignment="1">
      <alignment horizontal="right" vertical="center"/>
    </xf>
    <xf numFmtId="3" fontId="3" fillId="7" borderId="17" xfId="0" applyNumberFormat="1" applyFont="1" applyFill="1" applyBorder="1" applyAlignment="1" applyProtection="1">
      <alignment horizontal="right" vertical="center"/>
      <protection locked="0"/>
    </xf>
    <xf numFmtId="0" fontId="4" fillId="8" borderId="18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shrinkToFit="1"/>
    </xf>
    <xf numFmtId="0" fontId="0" fillId="8" borderId="10" xfId="0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 applyProtection="1">
      <alignment horizontal="center" vertical="center"/>
      <protection locked="0"/>
    </xf>
    <xf numFmtId="0" fontId="3" fillId="7" borderId="16" xfId="0" applyFont="1" applyFill="1" applyBorder="1" applyAlignment="1" applyProtection="1">
      <alignment horizontal="center" vertical="center"/>
      <protection locked="0"/>
    </xf>
    <xf numFmtId="0" fontId="3" fillId="8" borderId="19" xfId="0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4" fontId="3" fillId="7" borderId="17" xfId="0" applyNumberFormat="1" applyFont="1" applyFill="1" applyBorder="1" applyAlignment="1" applyProtection="1">
      <alignment horizontal="right" vertical="center"/>
      <protection locked="0"/>
    </xf>
    <xf numFmtId="4" fontId="3" fillId="7" borderId="0" xfId="0" applyNumberFormat="1" applyFont="1" applyFill="1" applyBorder="1" applyAlignment="1" applyProtection="1">
      <alignment horizontal="right" vertical="center"/>
      <protection locked="0"/>
    </xf>
    <xf numFmtId="4" fontId="3" fillId="7" borderId="16" xfId="0" applyNumberFormat="1" applyFont="1" applyFill="1" applyBorder="1" applyAlignment="1" applyProtection="1">
      <alignment horizontal="right" vertical="center"/>
      <protection locked="0"/>
    </xf>
    <xf numFmtId="0" fontId="3" fillId="12" borderId="2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176" fontId="3" fillId="12" borderId="2" xfId="0" applyNumberFormat="1" applyFont="1" applyFill="1" applyBorder="1" applyAlignment="1">
      <alignment horizontal="right" vertical="center"/>
    </xf>
    <xf numFmtId="176" fontId="3" fillId="12" borderId="6" xfId="0" applyNumberFormat="1" applyFont="1" applyFill="1" applyBorder="1" applyAlignment="1">
      <alignment horizontal="right" vertical="center"/>
    </xf>
    <xf numFmtId="176" fontId="3" fillId="13" borderId="2" xfId="0" applyNumberFormat="1" applyFont="1" applyFill="1" applyBorder="1" applyAlignment="1">
      <alignment horizontal="right" vertical="center"/>
    </xf>
    <xf numFmtId="176" fontId="3" fillId="13" borderId="6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" fontId="12" fillId="5" borderId="5" xfId="0" applyNumberFormat="1" applyFont="1" applyFill="1" applyBorder="1" applyAlignment="1">
      <alignment horizontal="center" vertical="center"/>
    </xf>
    <xf numFmtId="1" fontId="12" fillId="5" borderId="12" xfId="0" applyNumberFormat="1" applyFont="1" applyFill="1" applyBorder="1" applyAlignment="1">
      <alignment horizontal="center" vertical="center"/>
    </xf>
    <xf numFmtId="1" fontId="12" fillId="5" borderId="13" xfId="0" applyNumberFormat="1" applyFont="1" applyFill="1" applyBorder="1" applyAlignment="1">
      <alignment horizontal="center" vertical="center"/>
    </xf>
    <xf numFmtId="1" fontId="12" fillId="5" borderId="8" xfId="0" applyNumberFormat="1" applyFont="1" applyFill="1" applyBorder="1" applyAlignment="1">
      <alignment horizontal="center" vertical="center"/>
    </xf>
    <xf numFmtId="1" fontId="12" fillId="5" borderId="14" xfId="0" applyNumberFormat="1" applyFont="1" applyFill="1" applyBorder="1" applyAlignment="1">
      <alignment horizontal="center" vertical="center"/>
    </xf>
    <xf numFmtId="1" fontId="12" fillId="5" borderId="7" xfId="0" applyNumberFormat="1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12" fillId="5" borderId="11" xfId="0" applyFont="1" applyFill="1" applyBorder="1" applyAlignment="1" applyProtection="1">
      <alignment horizontal="center" vertical="center"/>
      <protection hidden="1"/>
    </xf>
    <xf numFmtId="0" fontId="12" fillId="5" borderId="15" xfId="0" applyFont="1" applyFill="1" applyBorder="1" applyAlignment="1" applyProtection="1">
      <alignment horizontal="center" vertical="center"/>
      <protection hidden="1"/>
    </xf>
    <xf numFmtId="0" fontId="12" fillId="5" borderId="1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11" borderId="11" xfId="0" applyFont="1" applyFill="1" applyBorder="1" applyAlignment="1" applyProtection="1">
      <alignment horizontal="left" vertical="center"/>
      <protection hidden="1"/>
    </xf>
    <xf numFmtId="0" fontId="3" fillId="11" borderId="15" xfId="0" applyFont="1" applyFill="1" applyBorder="1" applyAlignment="1" applyProtection="1">
      <alignment horizontal="left" vertical="center"/>
      <protection hidden="1"/>
    </xf>
    <xf numFmtId="0" fontId="3" fillId="11" borderId="10" xfId="0" applyFont="1" applyFill="1" applyBorder="1" applyAlignment="1" applyProtection="1">
      <alignment horizontal="left" vertical="center"/>
      <protection hidden="1"/>
    </xf>
    <xf numFmtId="0" fontId="3" fillId="8" borderId="5" xfId="0" applyFont="1" applyFill="1" applyBorder="1" applyAlignment="1" applyProtection="1">
      <alignment horizontal="center" vertical="center"/>
      <protection hidden="1"/>
    </xf>
    <xf numFmtId="0" fontId="3" fillId="8" borderId="12" xfId="0" applyFont="1" applyFill="1" applyBorder="1" applyAlignment="1" applyProtection="1">
      <alignment horizontal="center" vertical="center"/>
      <protection hidden="1"/>
    </xf>
    <xf numFmtId="0" fontId="3" fillId="8" borderId="13" xfId="0" applyFont="1" applyFill="1" applyBorder="1" applyAlignment="1" applyProtection="1">
      <alignment horizontal="center" vertical="center"/>
      <protection hidden="1"/>
    </xf>
    <xf numFmtId="0" fontId="3" fillId="8" borderId="8" xfId="0" applyFont="1" applyFill="1" applyBorder="1" applyAlignment="1" applyProtection="1">
      <alignment horizontal="center" vertical="center"/>
      <protection hidden="1"/>
    </xf>
    <xf numFmtId="0" fontId="3" fillId="8" borderId="14" xfId="0" applyFont="1" applyFill="1" applyBorder="1" applyAlignment="1" applyProtection="1">
      <alignment horizontal="center" vertical="center"/>
      <protection hidden="1"/>
    </xf>
    <xf numFmtId="0" fontId="3" fillId="8" borderId="7" xfId="0" applyFont="1" applyFill="1" applyBorder="1" applyAlignment="1" applyProtection="1">
      <alignment horizontal="center" vertical="center"/>
      <protection hidden="1"/>
    </xf>
    <xf numFmtId="44" fontId="3" fillId="7" borderId="2" xfId="0" applyNumberFormat="1" applyFont="1" applyFill="1" applyBorder="1" applyAlignment="1" applyProtection="1">
      <alignment horizontal="right" vertical="center"/>
      <protection hidden="1" locked="0"/>
    </xf>
    <xf numFmtId="44" fontId="3" fillId="7" borderId="6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" xfId="0" applyNumberFormat="1" applyFont="1" applyBorder="1" applyAlignment="1" applyProtection="1">
      <alignment horizontal="right" vertical="center"/>
      <protection hidden="1"/>
    </xf>
    <xf numFmtId="176" fontId="3" fillId="0" borderId="6" xfId="0" applyNumberFormat="1" applyFont="1" applyBorder="1" applyAlignment="1" applyProtection="1">
      <alignment horizontal="right" vertical="center"/>
      <protection hidden="1"/>
    </xf>
    <xf numFmtId="0" fontId="21" fillId="8" borderId="1" xfId="0" applyFont="1" applyFill="1" applyBorder="1" applyAlignment="1" applyProtection="1">
      <alignment horizontal="center"/>
      <protection hidden="1"/>
    </xf>
    <xf numFmtId="0" fontId="21" fillId="8" borderId="0" xfId="0" applyFont="1" applyFill="1" applyBorder="1" applyAlignment="1" applyProtection="1">
      <alignment horizont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6" xfId="0" applyNumberFormat="1" applyFont="1" applyBorder="1" applyAlignment="1" applyProtection="1">
      <alignment horizontal="center" vertical="center"/>
      <protection hidden="1"/>
    </xf>
    <xf numFmtId="0" fontId="3" fillId="8" borderId="1" xfId="0" applyFont="1" applyFill="1" applyBorder="1" applyAlignment="1" applyProtection="1">
      <alignment horizontal="left" vertical="center"/>
      <protection hidden="1" locked="0"/>
    </xf>
    <xf numFmtId="0" fontId="3" fillId="8" borderId="0" xfId="0" applyFont="1" applyFill="1" applyBorder="1" applyAlignment="1" applyProtection="1">
      <alignment horizontal="left" vertical="center"/>
      <protection hidden="1" locked="0"/>
    </xf>
    <xf numFmtId="0" fontId="3" fillId="8" borderId="9" xfId="0" applyFont="1" applyFill="1" applyBorder="1" applyAlignment="1" applyProtection="1">
      <alignment horizontal="left" vertical="center"/>
      <protection hidden="1" locked="0"/>
    </xf>
    <xf numFmtId="0" fontId="21" fillId="8" borderId="5" xfId="0" applyFont="1" applyFill="1" applyBorder="1" applyAlignment="1" applyProtection="1">
      <alignment horizontal="center" vertical="center"/>
      <protection hidden="1"/>
    </xf>
    <xf numFmtId="0" fontId="21" fillId="8" borderId="12" xfId="0" applyFont="1" applyFill="1" applyBorder="1" applyAlignment="1" applyProtection="1">
      <alignment horizontal="center" vertical="center"/>
      <protection hidden="1"/>
    </xf>
    <xf numFmtId="0" fontId="21" fillId="8" borderId="13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21" fillId="8" borderId="14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3" fillId="7" borderId="5" xfId="0" applyFont="1" applyFill="1" applyBorder="1" applyAlignment="1" applyProtection="1">
      <alignment horizontal="left" vertical="center"/>
      <protection hidden="1" locked="0"/>
    </xf>
    <xf numFmtId="0" fontId="3" fillId="7" borderId="12" xfId="0" applyFont="1" applyFill="1" applyBorder="1" applyAlignment="1" applyProtection="1">
      <alignment horizontal="left" vertical="center"/>
      <protection hidden="1" locked="0"/>
    </xf>
    <xf numFmtId="0" fontId="3" fillId="7" borderId="13" xfId="0" applyFont="1" applyFill="1" applyBorder="1" applyAlignment="1" applyProtection="1">
      <alignment horizontal="left" vertical="center"/>
      <protection hidden="1" locked="0"/>
    </xf>
    <xf numFmtId="0" fontId="3" fillId="7" borderId="1" xfId="0" applyFont="1" applyFill="1" applyBorder="1" applyAlignment="1" applyProtection="1">
      <alignment horizontal="left" vertical="center"/>
      <protection hidden="1" locked="0"/>
    </xf>
    <xf numFmtId="0" fontId="3" fillId="7" borderId="0" xfId="0" applyFont="1" applyFill="1" applyBorder="1" applyAlignment="1" applyProtection="1">
      <alignment horizontal="left" vertical="center"/>
      <protection hidden="1" locked="0"/>
    </xf>
    <xf numFmtId="0" fontId="3" fillId="7" borderId="9" xfId="0" applyFont="1" applyFill="1" applyBorder="1" applyAlignment="1" applyProtection="1">
      <alignment horizontal="left" vertical="center"/>
      <protection hidden="1" locked="0"/>
    </xf>
    <xf numFmtId="0" fontId="3" fillId="8" borderId="11" xfId="0" applyFont="1" applyFill="1" applyBorder="1" applyAlignment="1" applyProtection="1">
      <alignment horizontal="center" vertical="center"/>
      <protection hidden="1"/>
    </xf>
    <xf numFmtId="0" fontId="3" fillId="8" borderId="15" xfId="0" applyFont="1" applyFill="1" applyBorder="1" applyAlignment="1" applyProtection="1">
      <alignment horizontal="center" vertical="center"/>
      <protection hidden="1"/>
    </xf>
    <xf numFmtId="0" fontId="3" fillId="8" borderId="1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8" borderId="1" xfId="0" applyFont="1" applyFill="1" applyBorder="1" applyAlignment="1" applyProtection="1">
      <alignment horizontal="left" vertical="center"/>
      <protection hidden="1"/>
    </xf>
    <xf numFmtId="0" fontId="3" fillId="8" borderId="0" xfId="0" applyFont="1" applyFill="1" applyBorder="1" applyAlignment="1" applyProtection="1">
      <alignment horizontal="left" vertical="center"/>
      <protection hidden="1"/>
    </xf>
    <xf numFmtId="0" fontId="3" fillId="8" borderId="9" xfId="0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9" fillId="0" borderId="11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1" fillId="4" borderId="5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textRotation="255"/>
    </xf>
    <xf numFmtId="0" fontId="3" fillId="4" borderId="3" xfId="0" applyFont="1" applyFill="1" applyBorder="1" applyAlignment="1">
      <alignment horizontal="center" vertical="center" textRotation="255"/>
    </xf>
    <xf numFmtId="0" fontId="3" fillId="4" borderId="6" xfId="0" applyFont="1" applyFill="1" applyBorder="1" applyAlignment="1">
      <alignment horizontal="center" vertical="center" textRotation="255"/>
    </xf>
    <xf numFmtId="0" fontId="12" fillId="5" borderId="15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" fillId="4" borderId="15" xfId="0" applyFont="1" applyFill="1" applyBorder="1" applyAlignment="1">
      <alignment horizontal="center"/>
    </xf>
    <xf numFmtId="179" fontId="3" fillId="0" borderId="5" xfId="20" applyNumberFormat="1" applyFont="1" applyFill="1" applyBorder="1" applyAlignment="1" applyProtection="1">
      <alignment horizontal="right" vertical="center"/>
      <protection hidden="1"/>
    </xf>
    <xf numFmtId="179" fontId="3" fillId="0" borderId="13" xfId="20" applyNumberFormat="1" applyFont="1" applyFill="1" applyBorder="1" applyAlignment="1" applyProtection="1">
      <alignment horizontal="right" vertical="center"/>
      <protection hidden="1"/>
    </xf>
    <xf numFmtId="179" fontId="3" fillId="0" borderId="8" xfId="20" applyNumberFormat="1" applyFont="1" applyFill="1" applyBorder="1" applyAlignment="1" applyProtection="1">
      <alignment horizontal="right" vertical="center"/>
      <protection hidden="1"/>
    </xf>
    <xf numFmtId="179" fontId="3" fillId="0" borderId="7" xfId="20" applyNumberFormat="1" applyFont="1" applyFill="1" applyBorder="1" applyAlignment="1" applyProtection="1">
      <alignment horizontal="right" vertical="center"/>
      <protection hidden="1"/>
    </xf>
    <xf numFmtId="178" fontId="3" fillId="0" borderId="2" xfId="0" applyNumberFormat="1" applyFont="1" applyFill="1" applyBorder="1" applyAlignment="1" applyProtection="1">
      <alignment horizontal="left" vertical="center"/>
      <protection hidden="1"/>
    </xf>
    <xf numFmtId="178" fontId="3" fillId="0" borderId="6" xfId="0" applyNumberFormat="1" applyFont="1" applyFill="1" applyBorder="1" applyAlignment="1" applyProtection="1">
      <alignment horizontal="left" vertical="center"/>
      <protection hidden="1"/>
    </xf>
    <xf numFmtId="179" fontId="3" fillId="0" borderId="5" xfId="20" applyNumberFormat="1" applyFont="1" applyBorder="1" applyAlignment="1" applyProtection="1">
      <alignment horizontal="right" vertical="center"/>
      <protection hidden="1"/>
    </xf>
    <xf numFmtId="179" fontId="3" fillId="0" borderId="13" xfId="20" applyNumberFormat="1" applyFont="1" applyBorder="1" applyAlignment="1" applyProtection="1">
      <alignment horizontal="right" vertical="center"/>
      <protection hidden="1"/>
    </xf>
    <xf numFmtId="179" fontId="3" fillId="0" borderId="8" xfId="20" applyNumberFormat="1" applyFont="1" applyBorder="1" applyAlignment="1" applyProtection="1">
      <alignment horizontal="right" vertical="center"/>
      <protection hidden="1"/>
    </xf>
    <xf numFmtId="179" fontId="3" fillId="0" borderId="7" xfId="20" applyNumberFormat="1" applyFont="1" applyBorder="1" applyAlignment="1" applyProtection="1">
      <alignment horizontal="right" vertical="center"/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3" fillId="0" borderId="6" xfId="0" applyFont="1" applyBorder="1" applyAlignment="1" applyProtection="1">
      <alignment horizontal="left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15" xfId="0" applyFont="1" applyFill="1" applyBorder="1" applyAlignment="1" applyProtection="1">
      <alignment horizontal="center"/>
      <protection hidden="1"/>
    </xf>
    <xf numFmtId="0" fontId="3" fillId="4" borderId="1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horizontal="left" vertical="center"/>
      <protection hidden="1"/>
    </xf>
    <xf numFmtId="178" fontId="3" fillId="0" borderId="2" xfId="20" applyNumberFormat="1" applyFont="1" applyFill="1" applyBorder="1" applyAlignment="1" applyProtection="1">
      <alignment horizontal="center" vertical="center"/>
      <protection hidden="1"/>
    </xf>
    <xf numFmtId="178" fontId="3" fillId="0" borderId="6" xfId="20" applyNumberFormat="1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12" xfId="0" applyFont="1" applyFill="1" applyBorder="1" applyAlignment="1" applyProtection="1">
      <alignment horizontal="center"/>
      <protection hidden="1"/>
    </xf>
    <xf numFmtId="0" fontId="3" fillId="4" borderId="13" xfId="0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2" fillId="3" borderId="15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170" fontId="2" fillId="0" borderId="11" xfId="20" applyFont="1" applyBorder="1" applyAlignment="1" applyProtection="1">
      <alignment horizontal="center"/>
      <protection hidden="1"/>
    </xf>
    <xf numFmtId="170" fontId="2" fillId="0" borderId="10" xfId="2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78" fontId="2" fillId="0" borderId="5" xfId="0" applyNumberFormat="1" applyFont="1" applyBorder="1" applyAlignment="1" applyProtection="1">
      <alignment horizontal="left"/>
      <protection hidden="1"/>
    </xf>
    <xf numFmtId="178" fontId="2" fillId="0" borderId="13" xfId="0" applyNumberFormat="1" applyFont="1" applyBorder="1" applyAlignment="1" applyProtection="1">
      <alignment horizontal="left"/>
      <protection hidden="1"/>
    </xf>
    <xf numFmtId="178" fontId="2" fillId="0" borderId="11" xfId="0" applyNumberFormat="1" applyFont="1" applyBorder="1" applyAlignment="1" applyProtection="1">
      <alignment horizontal="left"/>
      <protection hidden="1"/>
    </xf>
    <xf numFmtId="178" fontId="2" fillId="0" borderId="10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>
      <alignment horizontal="center"/>
    </xf>
    <xf numFmtId="0" fontId="3" fillId="3" borderId="11" xfId="0" applyFont="1" applyFill="1" applyBorder="1" applyAlignment="1" applyProtection="1">
      <alignment horizontal="center"/>
      <protection hidden="1"/>
    </xf>
    <xf numFmtId="0" fontId="3" fillId="3" borderId="10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 vertical="center" textRotation="255" shrinkToFit="1"/>
      <protection hidden="1"/>
    </xf>
    <xf numFmtId="0" fontId="6" fillId="3" borderId="6" xfId="0" applyFont="1" applyFill="1" applyBorder="1" applyAlignment="1" applyProtection="1">
      <alignment horizontal="center" vertical="center" textRotation="255" shrinkToFit="1"/>
      <protection hidden="1"/>
    </xf>
    <xf numFmtId="0" fontId="6" fillId="3" borderId="3" xfId="0" applyFont="1" applyFill="1" applyBorder="1" applyAlignment="1" applyProtection="1">
      <alignment horizontal="center" vertical="center" textRotation="255"/>
      <protection hidden="1"/>
    </xf>
    <xf numFmtId="0" fontId="6" fillId="3" borderId="6" xfId="0" applyFont="1" applyFill="1" applyBorder="1" applyAlignment="1" applyProtection="1">
      <alignment horizontal="center" vertical="center" textRotation="255"/>
      <protection hidden="1"/>
    </xf>
    <xf numFmtId="0" fontId="6" fillId="3" borderId="2" xfId="0" applyFont="1" applyFill="1" applyBorder="1" applyAlignment="1" applyProtection="1">
      <alignment horizontal="center" vertical="center" textRotation="255" shrinkToFit="1"/>
      <protection hidden="1"/>
    </xf>
    <xf numFmtId="0" fontId="7" fillId="3" borderId="5" xfId="0" applyFont="1" applyFill="1" applyBorder="1" applyAlignment="1" applyProtection="1">
      <alignment horizontal="center"/>
      <protection hidden="1"/>
    </xf>
    <xf numFmtId="0" fontId="7" fillId="3" borderId="13" xfId="0" applyFont="1" applyFill="1" applyBorder="1" applyAlignment="1" applyProtection="1">
      <alignment horizontal="center"/>
      <protection hidden="1"/>
    </xf>
    <xf numFmtId="176" fontId="1" fillId="3" borderId="15" xfId="15" applyNumberFormat="1" applyFont="1" applyFill="1" applyBorder="1" applyAlignment="1" applyProtection="1">
      <alignment horizontal="center"/>
      <protection hidden="1"/>
    </xf>
    <xf numFmtId="176" fontId="1" fillId="3" borderId="10" xfId="15" applyNumberFormat="1" applyFont="1" applyFill="1" applyBorder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center" vertical="center" textRotation="255"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173" fontId="0" fillId="0" borderId="2" xfId="0" applyNumberFormat="1" applyFill="1" applyBorder="1" applyAlignment="1" applyProtection="1">
      <alignment horizontal="right" vertical="center"/>
      <protection hidden="1"/>
    </xf>
    <xf numFmtId="173" fontId="0" fillId="0" borderId="6" xfId="0" applyNumberFormat="1" applyFill="1" applyBorder="1" applyAlignment="1" applyProtection="1">
      <alignment horizontal="right" vertical="center"/>
      <protection hidden="1"/>
    </xf>
    <xf numFmtId="192" fontId="0" fillId="0" borderId="4" xfId="15" applyFill="1" applyBorder="1" applyAlignment="1" applyProtection="1">
      <alignment/>
      <protection hidden="1"/>
    </xf>
    <xf numFmtId="192" fontId="0" fillId="4" borderId="4" xfId="15" applyFill="1" applyBorder="1" applyAlignment="1" applyProtection="1">
      <alignment/>
      <protection hidden="1"/>
    </xf>
    <xf numFmtId="192" fontId="0" fillId="4" borderId="10" xfId="15" applyFill="1" applyBorder="1" applyAlignment="1" applyProtection="1">
      <alignment/>
      <protection hidden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7625"/>
          <c:w val="0.5565"/>
          <c:h val="0.84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des charges'!$K$2:$K$12</c:f>
              <c:strCache>
                <c:ptCount val="11"/>
                <c:pt idx="0">
                  <c:v>Matières premières</c:v>
                </c:pt>
                <c:pt idx="1">
                  <c:v>Assurances</c:v>
                </c:pt>
                <c:pt idx="2">
                  <c:v>Edf-Gdf</c:v>
                </c:pt>
                <c:pt idx="3">
                  <c:v>Entretien</c:v>
                </c:pt>
                <c:pt idx="4">
                  <c:v>Loyer</c:v>
                </c:pt>
                <c:pt idx="5">
                  <c:v>Salaires</c:v>
                </c:pt>
                <c:pt idx="6">
                  <c:v>Charges sociales</c:v>
                </c:pt>
                <c:pt idx="7">
                  <c:v>Téléphone</c:v>
                </c:pt>
                <c:pt idx="8">
                  <c:v>Charges fixes diverses</c:v>
                </c:pt>
                <c:pt idx="9">
                  <c:v>Charges variables diverses</c:v>
                </c:pt>
                <c:pt idx="10">
                  <c:v>Intérêts d'emprunt</c:v>
                </c:pt>
              </c:strCache>
            </c:strRef>
          </c:cat>
          <c:val>
            <c:numRef>
              <c:f>'Graphique des charges'!$L$2:$L$12</c:f>
              <c:numCache>
                <c:ptCount val="11"/>
                <c:pt idx="0">
                  <c:v>165565.21739130435</c:v>
                </c:pt>
                <c:pt idx="1">
                  <c:v>60000</c:v>
                </c:pt>
                <c:pt idx="2">
                  <c:v>12000</c:v>
                </c:pt>
                <c:pt idx="3">
                  <c:v>6000</c:v>
                </c:pt>
                <c:pt idx="4">
                  <c:v>24000</c:v>
                </c:pt>
                <c:pt idx="5">
                  <c:v>180000</c:v>
                </c:pt>
                <c:pt idx="6">
                  <c:v>81000</c:v>
                </c:pt>
                <c:pt idx="7">
                  <c:v>6000</c:v>
                </c:pt>
                <c:pt idx="8">
                  <c:v>42000</c:v>
                </c:pt>
                <c:pt idx="9">
                  <c:v>18000</c:v>
                </c:pt>
                <c:pt idx="10">
                  <c:v>1170.0375634998072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13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'Production vendue'!$B$14:$B$25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'Production vendue'!$C$14:$C$25</c:f>
              <c:numCache>
                <c:ptCount val="12"/>
                <c:pt idx="0">
                  <c:v>10000</c:v>
                </c:pt>
                <c:pt idx="1">
                  <c:v>10000</c:v>
                </c:pt>
                <c:pt idx="2">
                  <c:v>15000</c:v>
                </c:pt>
                <c:pt idx="3">
                  <c:v>25000</c:v>
                </c:pt>
                <c:pt idx="4">
                  <c:v>25000</c:v>
                </c:pt>
                <c:pt idx="5">
                  <c:v>10000</c:v>
                </c:pt>
                <c:pt idx="6">
                  <c:v>5000</c:v>
                </c:pt>
                <c:pt idx="7">
                  <c:v>5000</c:v>
                </c:pt>
                <c:pt idx="8">
                  <c:v>15000</c:v>
                </c:pt>
                <c:pt idx="9">
                  <c:v>20000</c:v>
                </c:pt>
                <c:pt idx="10">
                  <c:v>20000</c:v>
                </c:pt>
                <c:pt idx="11">
                  <c:v>15000</c:v>
                </c:pt>
              </c:numCache>
            </c:numRef>
          </c:val>
          <c:smooth val="0"/>
        </c:ser>
        <c:axId val="28218250"/>
        <c:axId val="52637659"/>
      </c:lineChart>
      <c:catAx>
        <c:axId val="28218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37659"/>
        <c:crosses val="autoZero"/>
        <c:auto val="1"/>
        <c:lblOffset val="100"/>
        <c:noMultiLvlLbl val="0"/>
      </c:catAx>
      <c:valAx>
        <c:axId val="52637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Quantités produites et vendues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1825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'Production stockée'!$B$14:$B$25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'Production stockée'!$C$14:$C$25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250</c:v>
                </c:pt>
                <c:pt idx="3">
                  <c:v>250</c:v>
                </c:pt>
                <c:pt idx="4">
                  <c:v>300</c:v>
                </c:pt>
                <c:pt idx="5">
                  <c:v>300</c:v>
                </c:pt>
                <c:pt idx="6">
                  <c:v>100</c:v>
                </c:pt>
                <c:pt idx="7">
                  <c:v>100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83</c:v>
                </c:pt>
              </c:numCache>
            </c:numRef>
          </c:val>
          <c:smooth val="0"/>
        </c:ser>
        <c:axId val="3976884"/>
        <c:axId val="35791957"/>
      </c:lineChart>
      <c:catAx>
        <c:axId val="3976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91957"/>
        <c:crosses val="autoZero"/>
        <c:auto val="1"/>
        <c:lblOffset val="100"/>
        <c:noMultiLvlLbl val="0"/>
      </c:catAx>
      <c:valAx>
        <c:axId val="35791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Quantités produites et stockées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688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25"/>
          <c:w val="0.973"/>
          <c:h val="0.95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'Production totale'!$C$11:$C$22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'Production totale'!$F$11:$F$22</c:f>
              <c:numCache>
                <c:ptCount val="12"/>
                <c:pt idx="0">
                  <c:v>10000</c:v>
                </c:pt>
                <c:pt idx="1">
                  <c:v>10000</c:v>
                </c:pt>
                <c:pt idx="2">
                  <c:v>15250</c:v>
                </c:pt>
                <c:pt idx="3">
                  <c:v>25250</c:v>
                </c:pt>
                <c:pt idx="4">
                  <c:v>25300</c:v>
                </c:pt>
                <c:pt idx="5">
                  <c:v>10300</c:v>
                </c:pt>
                <c:pt idx="6">
                  <c:v>5100</c:v>
                </c:pt>
                <c:pt idx="7">
                  <c:v>5100</c:v>
                </c:pt>
                <c:pt idx="8">
                  <c:v>15300</c:v>
                </c:pt>
                <c:pt idx="9">
                  <c:v>20300</c:v>
                </c:pt>
                <c:pt idx="10">
                  <c:v>20300</c:v>
                </c:pt>
                <c:pt idx="11">
                  <c:v>15083</c:v>
                </c:pt>
              </c:numCache>
            </c:numRef>
          </c:val>
          <c:smooth val="0"/>
        </c:ser>
        <c:axId val="53692158"/>
        <c:axId val="13467375"/>
      </c:lineChart>
      <c:catAx>
        <c:axId val="536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67375"/>
        <c:crosses val="autoZero"/>
        <c:auto val="1"/>
        <c:lblOffset val="100"/>
        <c:noMultiLvlLbl val="0"/>
      </c:catAx>
      <c:valAx>
        <c:axId val="1346737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3692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Ventes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'Représentation graphique'!$N$4:$N$15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'Représentation graphique'!$O$4:$O$15</c:f>
              <c:numCache>
                <c:ptCount val="12"/>
                <c:pt idx="0">
                  <c:v>47105.374723255925</c:v>
                </c:pt>
                <c:pt idx="1">
                  <c:v>47105.374723255925</c:v>
                </c:pt>
                <c:pt idx="2">
                  <c:v>70658.06208488389</c:v>
                </c:pt>
                <c:pt idx="3">
                  <c:v>117763.43680813981</c:v>
                </c:pt>
                <c:pt idx="4">
                  <c:v>117763.43680813981</c:v>
                </c:pt>
                <c:pt idx="5">
                  <c:v>47105.374723255925</c:v>
                </c:pt>
                <c:pt idx="6">
                  <c:v>23552.687361627963</c:v>
                </c:pt>
                <c:pt idx="7">
                  <c:v>23552.687361627963</c:v>
                </c:pt>
                <c:pt idx="8">
                  <c:v>70658.06208488389</c:v>
                </c:pt>
                <c:pt idx="9">
                  <c:v>94210.74944651185</c:v>
                </c:pt>
                <c:pt idx="10">
                  <c:v>94210.74944651185</c:v>
                </c:pt>
                <c:pt idx="11">
                  <c:v>70658.06208488389</c:v>
                </c:pt>
              </c:numCache>
            </c:numRef>
          </c:val>
          <c:smooth val="0"/>
        </c:ser>
        <c:ser>
          <c:idx val="1"/>
          <c:order val="1"/>
          <c:tx>
            <c:v>Achats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'Représentation graphique'!$O$18:$O$29</c:f>
              <c:numCache>
                <c:ptCount val="12"/>
                <c:pt idx="0">
                  <c:v>5000</c:v>
                </c:pt>
                <c:pt idx="1">
                  <c:v>10000</c:v>
                </c:pt>
                <c:pt idx="2">
                  <c:v>10000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10000</c:v>
                </c:pt>
                <c:pt idx="9">
                  <c:v>10000</c:v>
                </c:pt>
                <c:pt idx="10">
                  <c:v>20000</c:v>
                </c:pt>
                <c:pt idx="11">
                  <c:v>20000</c:v>
                </c:pt>
              </c:numCache>
            </c:numRef>
          </c:val>
          <c:smooth val="0"/>
        </c:ser>
        <c:ser>
          <c:idx val="2"/>
          <c:order val="2"/>
          <c:tx>
            <c:v>Trésorerie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'Représentation graphique'!$O$32:$O$43</c:f>
              <c:numCache>
                <c:ptCount val="12"/>
                <c:pt idx="0">
                  <c:v>54866.59035003533</c:v>
                </c:pt>
                <c:pt idx="1">
                  <c:v>55348.341564925344</c:v>
                </c:pt>
                <c:pt idx="2">
                  <c:v>5530.73812344906</c:v>
                </c:pt>
                <c:pt idx="3">
                  <c:v>71670.55142322296</c:v>
                </c:pt>
                <c:pt idx="4">
                  <c:v>137810.36472299686</c:v>
                </c:pt>
                <c:pt idx="5">
                  <c:v>133292.11593788688</c:v>
                </c:pt>
                <c:pt idx="6">
                  <c:v>105221.17979114893</c:v>
                </c:pt>
                <c:pt idx="7">
                  <c:v>77150.24364441098</c:v>
                </c:pt>
                <c:pt idx="8">
                  <c:v>101184.68222092895</c:v>
                </c:pt>
                <c:pt idx="9">
                  <c:v>148771.8081590749</c:v>
                </c:pt>
                <c:pt idx="10">
                  <c:v>186358.93409722083</c:v>
                </c:pt>
                <c:pt idx="11">
                  <c:v>200393.3726737388</c:v>
                </c:pt>
              </c:numCache>
            </c:numRef>
          </c:val>
          <c:smooth val="0"/>
        </c:ser>
        <c:axId val="54097512"/>
        <c:axId val="17115561"/>
      </c:lineChart>
      <c:catAx>
        <c:axId val="54097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115561"/>
        <c:crosses val="autoZero"/>
        <c:auto val="1"/>
        <c:lblOffset val="100"/>
        <c:noMultiLvlLbl val="0"/>
      </c:catAx>
      <c:valAx>
        <c:axId val="17115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97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'Seuil de rentabilité'!$F$13</c:f>
              <c:strCache>
                <c:ptCount val="1"/>
                <c:pt idx="0">
                  <c:v>MCV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'Seuil de rentabilité'!$G$12:$H$12</c:f>
              <c:numCache>
                <c:ptCount val="2"/>
                <c:pt idx="0">
                  <c:v>0</c:v>
                </c:pt>
                <c:pt idx="1">
                  <c:v>824344.0576569787</c:v>
                </c:pt>
              </c:numCache>
            </c:numRef>
          </c:xVal>
          <c:yVal>
            <c:numRef>
              <c:f>'Seuil de rentabilité'!$G$13:$H$13</c:f>
              <c:numCache>
                <c:ptCount val="2"/>
                <c:pt idx="0">
                  <c:v>0</c:v>
                </c:pt>
                <c:pt idx="1">
                  <c:v>646344.0576569787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'Seuil de rentabilité'!$F$14</c:f>
              <c:strCache>
                <c:ptCount val="1"/>
                <c:pt idx="0">
                  <c:v>CF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'Seuil de rentabilité'!$G$12:$H$12</c:f>
              <c:numCache>
                <c:ptCount val="2"/>
                <c:pt idx="0">
                  <c:v>0</c:v>
                </c:pt>
                <c:pt idx="1">
                  <c:v>824344.0576569787</c:v>
                </c:pt>
              </c:numCache>
            </c:numRef>
          </c:xVal>
          <c:yVal>
            <c:numRef>
              <c:f>'Seuil de rentabilité'!$G$14:$H$14</c:f>
              <c:numCache>
                <c:ptCount val="2"/>
                <c:pt idx="0">
                  <c:v>464637.24044634873</c:v>
                </c:pt>
                <c:pt idx="1">
                  <c:v>464637.24044634873</c:v>
                </c:pt>
              </c:numCache>
            </c:numRef>
          </c:yVal>
          <c:smooth val="0"/>
        </c:ser>
        <c:axId val="19822322"/>
        <c:axId val="44183171"/>
      </c:scatterChart>
      <c:valAx>
        <c:axId val="19822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83171"/>
        <c:crosses val="autoZero"/>
        <c:crossBetween val="midCat"/>
        <c:dispUnits/>
      </c:valAx>
      <c:valAx>
        <c:axId val="441831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8223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76200</xdr:rowOff>
    </xdr:from>
    <xdr:to>
      <xdr:col>3</xdr:col>
      <xdr:colOff>28575</xdr:colOff>
      <xdr:row>23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71525" y="5657850"/>
          <a:ext cx="4191000" cy="895350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FINANCEMENT DU PROJET</a:t>
          </a:r>
        </a:p>
      </xdr:txBody>
    </xdr:sp>
    <xdr:clientData/>
  </xdr:twoCellAnchor>
  <xdr:twoCellAnchor editAs="oneCell">
    <xdr:from>
      <xdr:col>1</xdr:col>
      <xdr:colOff>952500</xdr:colOff>
      <xdr:row>1</xdr:row>
      <xdr:rowOff>171450</xdr:rowOff>
    </xdr:from>
    <xdr:to>
      <xdr:col>2</xdr:col>
      <xdr:colOff>76200</xdr:colOff>
      <xdr:row>1</xdr:row>
      <xdr:rowOff>2352675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33375"/>
          <a:ext cx="21431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</xdr:row>
      <xdr:rowOff>9525</xdr:rowOff>
    </xdr:from>
    <xdr:to>
      <xdr:col>2</xdr:col>
      <xdr:colOff>390525</xdr:colOff>
      <xdr:row>1</xdr:row>
      <xdr:rowOff>2628900</xdr:rowOff>
    </xdr:to>
    <xdr:pic>
      <xdr:nvPicPr>
        <xdr:cNvPr id="3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71450"/>
          <a:ext cx="257175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0</xdr:row>
      <xdr:rowOff>133350</xdr:rowOff>
    </xdr:from>
    <xdr:ext cx="5000625" cy="828675"/>
    <xdr:sp>
      <xdr:nvSpPr>
        <xdr:cNvPr id="1" name="Rectangle 3"/>
        <xdr:cNvSpPr>
          <a:spLocks/>
        </xdr:cNvSpPr>
      </xdr:nvSpPr>
      <xdr:spPr>
        <a:xfrm>
          <a:off x="123825" y="133350"/>
          <a:ext cx="5000625" cy="8286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 REPARTITION DE LA PRODUCTION
TOTALE</a:t>
          </a:r>
        </a:p>
      </xdr:txBody>
    </xdr:sp>
    <xdr:clientData/>
  </xdr:oneCellAnchor>
  <xdr:twoCellAnchor>
    <xdr:from>
      <xdr:col>0</xdr:col>
      <xdr:colOff>142875</xdr:colOff>
      <xdr:row>24</xdr:row>
      <xdr:rowOff>133350</xdr:rowOff>
    </xdr:from>
    <xdr:to>
      <xdr:col>7</xdr:col>
      <xdr:colOff>485775</xdr:colOff>
      <xdr:row>50</xdr:row>
      <xdr:rowOff>114300</xdr:rowOff>
    </xdr:to>
    <xdr:graphicFrame>
      <xdr:nvGraphicFramePr>
        <xdr:cNvPr id="2" name="Chart 6"/>
        <xdr:cNvGraphicFramePr/>
      </xdr:nvGraphicFramePr>
      <xdr:xfrm>
        <a:off x="142875" y="4019550"/>
        <a:ext cx="53530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0</xdr:row>
      <xdr:rowOff>114300</xdr:rowOff>
    </xdr:from>
    <xdr:ext cx="5000625" cy="828675"/>
    <xdr:sp>
      <xdr:nvSpPr>
        <xdr:cNvPr id="1" name="Rectangle 1"/>
        <xdr:cNvSpPr>
          <a:spLocks/>
        </xdr:cNvSpPr>
      </xdr:nvSpPr>
      <xdr:spPr>
        <a:xfrm>
          <a:off x="180975" y="114300"/>
          <a:ext cx="5000625" cy="8286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 SYNTHESE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0</xdr:row>
      <xdr:rowOff>152400</xdr:rowOff>
    </xdr:from>
    <xdr:ext cx="5000625" cy="828675"/>
    <xdr:sp>
      <xdr:nvSpPr>
        <xdr:cNvPr id="1" name="Rectangle 1"/>
        <xdr:cNvSpPr>
          <a:spLocks/>
        </xdr:cNvSpPr>
      </xdr:nvSpPr>
      <xdr:spPr>
        <a:xfrm>
          <a:off x="238125" y="152400"/>
          <a:ext cx="5000625" cy="8286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 ACHATS ET VENTES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476250</xdr:colOff>
      <xdr:row>0</xdr:row>
      <xdr:rowOff>0</xdr:rowOff>
    </xdr:from>
    <xdr:ext cx="5000625" cy="828675"/>
    <xdr:sp>
      <xdr:nvSpPr>
        <xdr:cNvPr id="1" name="Rectangle 19"/>
        <xdr:cNvSpPr>
          <a:spLocks/>
        </xdr:cNvSpPr>
      </xdr:nvSpPr>
      <xdr:spPr>
        <a:xfrm>
          <a:off x="476250" y="0"/>
          <a:ext cx="5000625" cy="8286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 BUDGET DE TRESORERIE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723900</xdr:colOff>
      <xdr:row>1</xdr:row>
      <xdr:rowOff>66675</xdr:rowOff>
    </xdr:from>
    <xdr:ext cx="5000625" cy="828675"/>
    <xdr:sp>
      <xdr:nvSpPr>
        <xdr:cNvPr id="1" name="Rectangle 2"/>
        <xdr:cNvSpPr>
          <a:spLocks/>
        </xdr:cNvSpPr>
      </xdr:nvSpPr>
      <xdr:spPr>
        <a:xfrm>
          <a:off x="1485900" y="228600"/>
          <a:ext cx="5000625" cy="8286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 ACHATS - VENTES - TRESORERIE
EVOLUTION</a:t>
          </a:r>
        </a:p>
      </xdr:txBody>
    </xdr:sp>
    <xdr:clientData/>
  </xdr:oneCellAnchor>
  <xdr:twoCellAnchor>
    <xdr:from>
      <xdr:col>0</xdr:col>
      <xdr:colOff>76200</xdr:colOff>
      <xdr:row>7</xdr:row>
      <xdr:rowOff>66675</xdr:rowOff>
    </xdr:from>
    <xdr:to>
      <xdr:col>10</xdr:col>
      <xdr:colOff>542925</xdr:colOff>
      <xdr:row>37</xdr:row>
      <xdr:rowOff>85725</xdr:rowOff>
    </xdr:to>
    <xdr:graphicFrame>
      <xdr:nvGraphicFramePr>
        <xdr:cNvPr id="2" name="Chart 7"/>
        <xdr:cNvGraphicFramePr/>
      </xdr:nvGraphicFramePr>
      <xdr:xfrm>
        <a:off x="76200" y="1200150"/>
        <a:ext cx="80867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1933575</xdr:colOff>
      <xdr:row>0</xdr:row>
      <xdr:rowOff>0</xdr:rowOff>
    </xdr:from>
    <xdr:ext cx="5000625" cy="828675"/>
    <xdr:sp>
      <xdr:nvSpPr>
        <xdr:cNvPr id="1" name="Rectangle 1"/>
        <xdr:cNvSpPr>
          <a:spLocks/>
        </xdr:cNvSpPr>
      </xdr:nvSpPr>
      <xdr:spPr>
        <a:xfrm>
          <a:off x="2066925" y="0"/>
          <a:ext cx="5000625" cy="8286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 COMPTE DE RESULTAT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0</xdr:row>
      <xdr:rowOff>28575</xdr:rowOff>
    </xdr:from>
    <xdr:ext cx="5000625" cy="828675"/>
    <xdr:sp>
      <xdr:nvSpPr>
        <xdr:cNvPr id="1" name="Rectangle 1"/>
        <xdr:cNvSpPr>
          <a:spLocks/>
        </xdr:cNvSpPr>
      </xdr:nvSpPr>
      <xdr:spPr>
        <a:xfrm>
          <a:off x="314325" y="28575"/>
          <a:ext cx="5000625" cy="8286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SIG et CAF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257175</xdr:colOff>
      <xdr:row>0</xdr:row>
      <xdr:rowOff>104775</xdr:rowOff>
    </xdr:from>
    <xdr:ext cx="5000625" cy="828675"/>
    <xdr:sp>
      <xdr:nvSpPr>
        <xdr:cNvPr id="1" name="Rectangle 1"/>
        <xdr:cNvSpPr>
          <a:spLocks/>
        </xdr:cNvSpPr>
      </xdr:nvSpPr>
      <xdr:spPr>
        <a:xfrm>
          <a:off x="590550" y="104775"/>
          <a:ext cx="5000625" cy="8286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BILAN DE CLOTURE - ACTIF</a:t>
          </a:r>
        </a:p>
      </xdr:txBody>
    </xdr:sp>
    <xdr:clientData/>
  </xdr:oneCellAnchor>
  <xdr:oneCellAnchor>
    <xdr:from>
      <xdr:col>2</xdr:col>
      <xdr:colOff>219075</xdr:colOff>
      <xdr:row>55</xdr:row>
      <xdr:rowOff>114300</xdr:rowOff>
    </xdr:from>
    <xdr:ext cx="5000625" cy="828675"/>
    <xdr:sp>
      <xdr:nvSpPr>
        <xdr:cNvPr id="2" name="Rectangle 2"/>
        <xdr:cNvSpPr>
          <a:spLocks/>
        </xdr:cNvSpPr>
      </xdr:nvSpPr>
      <xdr:spPr>
        <a:xfrm>
          <a:off x="552450" y="9020175"/>
          <a:ext cx="5000625" cy="8286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BILAN DE CLOTURE - PASSIF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523875</xdr:colOff>
      <xdr:row>0</xdr:row>
      <xdr:rowOff>114300</xdr:rowOff>
    </xdr:from>
    <xdr:ext cx="5000625" cy="828675"/>
    <xdr:sp>
      <xdr:nvSpPr>
        <xdr:cNvPr id="1" name="Rectangle 1"/>
        <xdr:cNvSpPr>
          <a:spLocks/>
        </xdr:cNvSpPr>
      </xdr:nvSpPr>
      <xdr:spPr>
        <a:xfrm>
          <a:off x="523875" y="114300"/>
          <a:ext cx="5000625" cy="8286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FONDS DE ROULEMENT
BESOIN EN FONDS DE ROULEMENT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0</xdr:row>
      <xdr:rowOff>76200</xdr:rowOff>
    </xdr:from>
    <xdr:ext cx="5000625" cy="828675"/>
    <xdr:sp>
      <xdr:nvSpPr>
        <xdr:cNvPr id="1" name="Rectangle 2"/>
        <xdr:cNvSpPr>
          <a:spLocks/>
        </xdr:cNvSpPr>
      </xdr:nvSpPr>
      <xdr:spPr>
        <a:xfrm>
          <a:off x="161925" y="76200"/>
          <a:ext cx="5000625" cy="8286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SEUIL DE RENTABILITE</a:t>
          </a:r>
        </a:p>
      </xdr:txBody>
    </xdr:sp>
    <xdr:clientData/>
  </xdr:oneCellAnchor>
  <xdr:twoCellAnchor>
    <xdr:from>
      <xdr:col>0</xdr:col>
      <xdr:colOff>219075</xdr:colOff>
      <xdr:row>25</xdr:row>
      <xdr:rowOff>47625</xdr:rowOff>
    </xdr:from>
    <xdr:to>
      <xdr:col>3</xdr:col>
      <xdr:colOff>923925</xdr:colOff>
      <xdr:row>45</xdr:row>
      <xdr:rowOff>142875</xdr:rowOff>
    </xdr:to>
    <xdr:graphicFrame>
      <xdr:nvGraphicFramePr>
        <xdr:cNvPr id="2" name="Chart 13"/>
        <xdr:cNvGraphicFramePr/>
      </xdr:nvGraphicFramePr>
      <xdr:xfrm>
        <a:off x="219075" y="4095750"/>
        <a:ext cx="49244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0</xdr:row>
      <xdr:rowOff>152400</xdr:rowOff>
    </xdr:from>
    <xdr:ext cx="5124450" cy="828675"/>
    <xdr:sp>
      <xdr:nvSpPr>
        <xdr:cNvPr id="1" name="Rectangle 1"/>
        <xdr:cNvSpPr>
          <a:spLocks/>
        </xdr:cNvSpPr>
      </xdr:nvSpPr>
      <xdr:spPr>
        <a:xfrm>
          <a:off x="238125" y="152400"/>
          <a:ext cx="5124450" cy="8286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CHIFFRE D'AFFAIRES PREVISIONNEL
ET BUDGET PUBLICITAIRE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1438275</xdr:colOff>
      <xdr:row>0</xdr:row>
      <xdr:rowOff>133350</xdr:rowOff>
    </xdr:from>
    <xdr:ext cx="4171950" cy="828675"/>
    <xdr:sp>
      <xdr:nvSpPr>
        <xdr:cNvPr id="1" name="Rectangle 5"/>
        <xdr:cNvSpPr>
          <a:spLocks/>
        </xdr:cNvSpPr>
      </xdr:nvSpPr>
      <xdr:spPr>
        <a:xfrm>
          <a:off x="1752600" y="133350"/>
          <a:ext cx="4171950" cy="8286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IMMOBILISATIONS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1</xdr:row>
      <xdr:rowOff>66675</xdr:rowOff>
    </xdr:from>
    <xdr:ext cx="4171950" cy="828675"/>
    <xdr:sp>
      <xdr:nvSpPr>
        <xdr:cNvPr id="1" name="Rectangle 1"/>
        <xdr:cNvSpPr>
          <a:spLocks/>
        </xdr:cNvSpPr>
      </xdr:nvSpPr>
      <xdr:spPr>
        <a:xfrm>
          <a:off x="381000" y="228600"/>
          <a:ext cx="4171950" cy="8286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EVALUATION DES BESOINS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581025</xdr:colOff>
      <xdr:row>1</xdr:row>
      <xdr:rowOff>19050</xdr:rowOff>
    </xdr:from>
    <xdr:ext cx="4171950" cy="828675"/>
    <xdr:sp>
      <xdr:nvSpPr>
        <xdr:cNvPr id="1" name="Rectangle 4"/>
        <xdr:cNvSpPr>
          <a:spLocks/>
        </xdr:cNvSpPr>
      </xdr:nvSpPr>
      <xdr:spPr>
        <a:xfrm>
          <a:off x="819150" y="180975"/>
          <a:ext cx="4171950" cy="8286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EMPRUNT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0</xdr:row>
      <xdr:rowOff>104775</xdr:rowOff>
    </xdr:from>
    <xdr:ext cx="5000625" cy="828675"/>
    <xdr:sp>
      <xdr:nvSpPr>
        <xdr:cNvPr id="1" name="Rectangle 1"/>
        <xdr:cNvSpPr>
          <a:spLocks/>
        </xdr:cNvSpPr>
      </xdr:nvSpPr>
      <xdr:spPr>
        <a:xfrm>
          <a:off x="657225" y="104775"/>
          <a:ext cx="5000625" cy="8286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 STOCKS 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476250</xdr:colOff>
      <xdr:row>0</xdr:row>
      <xdr:rowOff>142875</xdr:rowOff>
    </xdr:from>
    <xdr:ext cx="4171950" cy="828675"/>
    <xdr:sp>
      <xdr:nvSpPr>
        <xdr:cNvPr id="1" name="Rectangle 2"/>
        <xdr:cNvSpPr>
          <a:spLocks/>
        </xdr:cNvSpPr>
      </xdr:nvSpPr>
      <xdr:spPr>
        <a:xfrm>
          <a:off x="828675" y="142875"/>
          <a:ext cx="4171950" cy="8286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REPARTION DES CHARGES
DECAISSABLES</a:t>
          </a:r>
        </a:p>
      </xdr:txBody>
    </xdr:sp>
    <xdr:clientData/>
  </xdr:oneCellAnchor>
  <xdr:twoCellAnchor>
    <xdr:from>
      <xdr:col>1</xdr:col>
      <xdr:colOff>266700</xdr:colOff>
      <xdr:row>7</xdr:row>
      <xdr:rowOff>104775</xdr:rowOff>
    </xdr:from>
    <xdr:to>
      <xdr:col>7</xdr:col>
      <xdr:colOff>361950</xdr:colOff>
      <xdr:row>45</xdr:row>
      <xdr:rowOff>28575</xdr:rowOff>
    </xdr:to>
    <xdr:graphicFrame>
      <xdr:nvGraphicFramePr>
        <xdr:cNvPr id="2" name="Chart 3"/>
        <xdr:cNvGraphicFramePr/>
      </xdr:nvGraphicFramePr>
      <xdr:xfrm>
        <a:off x="619125" y="1238250"/>
        <a:ext cx="46672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1</xdr:row>
      <xdr:rowOff>66675</xdr:rowOff>
    </xdr:from>
    <xdr:ext cx="5000625" cy="828675"/>
    <xdr:sp>
      <xdr:nvSpPr>
        <xdr:cNvPr id="1" name="Rectangle 1"/>
        <xdr:cNvSpPr>
          <a:spLocks/>
        </xdr:cNvSpPr>
      </xdr:nvSpPr>
      <xdr:spPr>
        <a:xfrm>
          <a:off x="495300" y="228600"/>
          <a:ext cx="5000625" cy="8286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 REPARTITION DE LA PRODUCTION
VENDUE</a:t>
          </a:r>
        </a:p>
      </xdr:txBody>
    </xdr:sp>
    <xdr:clientData/>
  </xdr:oneCellAnchor>
  <xdr:twoCellAnchor>
    <xdr:from>
      <xdr:col>1</xdr:col>
      <xdr:colOff>28575</xdr:colOff>
      <xdr:row>26</xdr:row>
      <xdr:rowOff>9525</xdr:rowOff>
    </xdr:from>
    <xdr:to>
      <xdr:col>6</xdr:col>
      <xdr:colOff>38100</xdr:colOff>
      <xdr:row>49</xdr:row>
      <xdr:rowOff>114300</xdr:rowOff>
    </xdr:to>
    <xdr:graphicFrame>
      <xdr:nvGraphicFramePr>
        <xdr:cNvPr id="2" name="Chart 28"/>
        <xdr:cNvGraphicFramePr/>
      </xdr:nvGraphicFramePr>
      <xdr:xfrm>
        <a:off x="323850" y="5362575"/>
        <a:ext cx="53435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1</xdr:row>
      <xdr:rowOff>19050</xdr:rowOff>
    </xdr:from>
    <xdr:ext cx="5000625" cy="828675"/>
    <xdr:sp>
      <xdr:nvSpPr>
        <xdr:cNvPr id="1" name="Rectangle 1"/>
        <xdr:cNvSpPr>
          <a:spLocks/>
        </xdr:cNvSpPr>
      </xdr:nvSpPr>
      <xdr:spPr>
        <a:xfrm>
          <a:off x="304800" y="180975"/>
          <a:ext cx="5000625" cy="82867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 REPARTITION DE LA PRODUCTION
STOCKEE</a:t>
          </a:r>
        </a:p>
      </xdr:txBody>
    </xdr:sp>
    <xdr:clientData/>
  </xdr:oneCellAnchor>
  <xdr:twoCellAnchor>
    <xdr:from>
      <xdr:col>0</xdr:col>
      <xdr:colOff>9525</xdr:colOff>
      <xdr:row>28</xdr:row>
      <xdr:rowOff>0</xdr:rowOff>
    </xdr:from>
    <xdr:to>
      <xdr:col>4</xdr:col>
      <xdr:colOff>752475</xdr:colOff>
      <xdr:row>51</xdr:row>
      <xdr:rowOff>114300</xdr:rowOff>
    </xdr:to>
    <xdr:graphicFrame>
      <xdr:nvGraphicFramePr>
        <xdr:cNvPr id="2" name="Chart 2"/>
        <xdr:cNvGraphicFramePr/>
      </xdr:nvGraphicFramePr>
      <xdr:xfrm>
        <a:off x="9525" y="5676900"/>
        <a:ext cx="53530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8"/>
  </sheetPr>
  <dimension ref="B2:J35"/>
  <sheetViews>
    <sheetView showGridLines="0" zoomScaleSheetLayoutView="100" workbookViewId="0" topLeftCell="A1">
      <selection activeCell="F20" sqref="F20"/>
    </sheetView>
  </sheetViews>
  <sheetFormatPr defaultColWidth="11.421875" defaultRowHeight="12.75"/>
  <cols>
    <col min="1" max="1" width="11.28125" style="70" customWidth="1"/>
    <col min="2" max="2" width="45.28125" style="70" customWidth="1"/>
    <col min="3" max="3" width="17.421875" style="71" customWidth="1"/>
    <col min="4" max="5" width="11.421875" style="71" customWidth="1"/>
    <col min="6" max="6" width="24.140625" style="71" customWidth="1"/>
    <col min="7" max="16384" width="11.421875" style="71" customWidth="1"/>
  </cols>
  <sheetData>
    <row r="1" ht="12.75"/>
    <row r="2" spans="2:8" ht="207" customHeight="1">
      <c r="B2" s="455"/>
      <c r="C2" s="456"/>
      <c r="E2" s="75"/>
      <c r="F2" s="75"/>
      <c r="G2" s="75"/>
      <c r="H2" s="75"/>
    </row>
    <row r="3" spans="2:8" ht="21.75" customHeight="1">
      <c r="B3" s="76"/>
      <c r="C3" s="76"/>
      <c r="E3" s="75"/>
      <c r="F3" s="75"/>
      <c r="G3" s="75"/>
      <c r="H3" s="75"/>
    </row>
    <row r="4" spans="5:8" ht="12.75">
      <c r="E4" s="75"/>
      <c r="F4" s="75" t="s">
        <v>285</v>
      </c>
      <c r="G4" s="75"/>
      <c r="H4" s="75"/>
    </row>
    <row r="5" spans="2:10" ht="32.25" customHeight="1">
      <c r="B5" s="453" t="s">
        <v>397</v>
      </c>
      <c r="C5" s="454"/>
      <c r="E5" s="75"/>
      <c r="F5" s="75" t="s">
        <v>286</v>
      </c>
      <c r="G5" s="75"/>
      <c r="H5" s="75"/>
      <c r="I5" s="78"/>
      <c r="J5" s="78"/>
    </row>
    <row r="6" spans="2:10" ht="12.75">
      <c r="B6" s="72" t="s">
        <v>286</v>
      </c>
      <c r="C6" s="73">
        <f>Besoins!E11</f>
        <v>33800</v>
      </c>
      <c r="E6" s="75"/>
      <c r="F6" s="78"/>
      <c r="G6" s="78"/>
      <c r="H6" s="78"/>
      <c r="I6" s="78"/>
      <c r="J6" s="78"/>
    </row>
    <row r="7" spans="2:10" ht="12.75">
      <c r="B7" s="2"/>
      <c r="C7" s="74"/>
      <c r="F7" s="78"/>
      <c r="G7" s="78"/>
      <c r="H7" s="78"/>
      <c r="I7" s="78"/>
      <c r="J7" s="78"/>
    </row>
    <row r="8" spans="2:10" ht="12.75">
      <c r="B8" s="457" t="s">
        <v>287</v>
      </c>
      <c r="C8" s="458"/>
      <c r="F8" s="78"/>
      <c r="G8" s="78"/>
      <c r="H8" s="78"/>
      <c r="I8" s="78"/>
      <c r="J8" s="78"/>
    </row>
    <row r="9" spans="2:10" ht="12.75">
      <c r="B9" s="457" t="s">
        <v>288</v>
      </c>
      <c r="C9" s="458"/>
      <c r="F9" s="78"/>
      <c r="G9" s="78"/>
      <c r="H9" s="78"/>
      <c r="I9" s="78"/>
      <c r="J9" s="78"/>
    </row>
    <row r="10" spans="2:10" ht="12.75">
      <c r="B10" s="457" t="s">
        <v>289</v>
      </c>
      <c r="C10" s="458"/>
      <c r="F10" s="78"/>
      <c r="G10" s="78"/>
      <c r="H10" s="78"/>
      <c r="I10" s="78"/>
      <c r="J10" s="78"/>
    </row>
    <row r="11" spans="2:10" ht="12.75">
      <c r="B11" s="457" t="s">
        <v>398</v>
      </c>
      <c r="C11" s="458"/>
      <c r="F11" s="78"/>
      <c r="G11" s="78"/>
      <c r="H11" s="78"/>
      <c r="I11" s="78"/>
      <c r="J11" s="78"/>
    </row>
    <row r="12" spans="2:10" ht="12.75">
      <c r="B12" s="457" t="s">
        <v>399</v>
      </c>
      <c r="C12" s="458"/>
      <c r="F12" s="78"/>
      <c r="G12" s="78"/>
      <c r="H12" s="78"/>
      <c r="I12" s="78"/>
      <c r="J12" s="78"/>
    </row>
    <row r="13" spans="2:10" ht="12.75">
      <c r="B13" s="459"/>
      <c r="C13" s="460"/>
      <c r="F13" s="78"/>
      <c r="G13" s="78"/>
      <c r="H13" s="78"/>
      <c r="I13" s="78"/>
      <c r="J13" s="78"/>
    </row>
    <row r="27" spans="2:3" ht="12.75">
      <c r="B27" s="461"/>
      <c r="C27" s="461"/>
    </row>
    <row r="28" spans="2:3" ht="12.75">
      <c r="B28" s="462" t="s">
        <v>290</v>
      </c>
      <c r="C28" s="463"/>
    </row>
    <row r="29" spans="2:3" ht="12.75">
      <c r="B29" s="457"/>
      <c r="C29" s="458"/>
    </row>
    <row r="30" spans="2:3" ht="12.75">
      <c r="B30" s="457"/>
      <c r="C30" s="458"/>
    </row>
    <row r="31" spans="2:3" ht="12.75">
      <c r="B31" s="457"/>
      <c r="C31" s="458"/>
    </row>
    <row r="32" spans="2:3" ht="12.75">
      <c r="B32" s="457"/>
      <c r="C32" s="458"/>
    </row>
    <row r="33" spans="2:3" ht="12.75">
      <c r="B33" s="457"/>
      <c r="C33" s="458"/>
    </row>
    <row r="34" spans="2:3" ht="12.75">
      <c r="B34" s="457"/>
      <c r="C34" s="458"/>
    </row>
    <row r="35" spans="2:3" ht="12.75">
      <c r="B35" s="459"/>
      <c r="C35" s="460"/>
    </row>
  </sheetData>
  <sheetProtection selectLockedCells="1" selectUnlockedCells="1"/>
  <mergeCells count="17">
    <mergeCell ref="B35:C35"/>
    <mergeCell ref="B31:C31"/>
    <mergeCell ref="B32:C32"/>
    <mergeCell ref="B33:C33"/>
    <mergeCell ref="B34:C34"/>
    <mergeCell ref="B27:C27"/>
    <mergeCell ref="B28:C28"/>
    <mergeCell ref="B29:C29"/>
    <mergeCell ref="B30:C30"/>
    <mergeCell ref="B10:C10"/>
    <mergeCell ref="B11:C11"/>
    <mergeCell ref="B13:C13"/>
    <mergeCell ref="B12:C12"/>
    <mergeCell ref="B5:C5"/>
    <mergeCell ref="B2:C2"/>
    <mergeCell ref="B8:C8"/>
    <mergeCell ref="B9:C9"/>
  </mergeCells>
  <dataValidations count="1">
    <dataValidation type="list" allowBlank="1" showInputMessage="1" showErrorMessage="1" promptTitle="Status de la société" sqref="B6">
      <formula1>$F$4:$F$5</formula1>
    </dataValidation>
  </dataValidations>
  <printOptions horizontalCentered="1" verticalCentered="1"/>
  <pageMargins left="0.7874015748031497" right="0.7874015748031497" top="0.3937007874015748" bottom="0.7874015748031497" header="0.5118110236220472" footer="0.5118110236220472"/>
  <pageSetup horizontalDpi="600" verticalDpi="600" orientation="portrait" paperSize="9" r:id="rId4"/>
  <headerFooter alignWithMargins="0">
    <oddFooter>&amp;CIdentification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C9:F22"/>
  <sheetViews>
    <sheetView showGridLines="0" workbookViewId="0" topLeftCell="A37">
      <selection activeCell="C56" sqref="C56"/>
    </sheetView>
  </sheetViews>
  <sheetFormatPr defaultColWidth="11.421875" defaultRowHeight="12.75"/>
  <cols>
    <col min="1" max="1" width="6.00390625" style="0" customWidth="1"/>
    <col min="2" max="2" width="8.57421875" style="0" customWidth="1"/>
    <col min="3" max="3" width="14.8515625" style="0" customWidth="1"/>
  </cols>
  <sheetData>
    <row r="9" spans="3:6" ht="12.75">
      <c r="C9" s="590" t="s">
        <v>377</v>
      </c>
      <c r="D9" s="462" t="s">
        <v>388</v>
      </c>
      <c r="E9" s="594"/>
      <c r="F9" s="463"/>
    </row>
    <row r="10" spans="3:6" ht="12.75">
      <c r="C10" s="592"/>
      <c r="D10" s="383" t="s">
        <v>452</v>
      </c>
      <c r="E10" s="402" t="s">
        <v>453</v>
      </c>
      <c r="F10" s="402" t="s">
        <v>454</v>
      </c>
    </row>
    <row r="11" spans="3:6" ht="12.75">
      <c r="C11" s="386" t="s">
        <v>217</v>
      </c>
      <c r="D11" s="401">
        <f>'Production vendue'!C14</f>
        <v>10000</v>
      </c>
      <c r="E11" s="401">
        <f>'Production stockée'!C14</f>
        <v>0</v>
      </c>
      <c r="F11" s="401">
        <f>SUM(D11:E11)</f>
        <v>10000</v>
      </c>
    </row>
    <row r="12" spans="3:6" ht="12.75">
      <c r="C12" s="387" t="s">
        <v>218</v>
      </c>
      <c r="D12" s="401">
        <f>'Production vendue'!C15</f>
        <v>10000</v>
      </c>
      <c r="E12" s="401">
        <f>'Production stockée'!C15</f>
        <v>0</v>
      </c>
      <c r="F12" s="401">
        <f aca="true" t="shared" si="0" ref="F12:F22">SUM(D12:E12)</f>
        <v>10000</v>
      </c>
    </row>
    <row r="13" spans="3:6" ht="12.75">
      <c r="C13" s="387" t="s">
        <v>219</v>
      </c>
      <c r="D13" s="401">
        <f>'Production vendue'!C16</f>
        <v>15000</v>
      </c>
      <c r="E13" s="401">
        <f>'Production stockée'!C16</f>
        <v>250</v>
      </c>
      <c r="F13" s="401">
        <f t="shared" si="0"/>
        <v>15250</v>
      </c>
    </row>
    <row r="14" spans="3:6" ht="12.75">
      <c r="C14" s="387" t="s">
        <v>220</v>
      </c>
      <c r="D14" s="401">
        <f>'Production vendue'!C17</f>
        <v>25000</v>
      </c>
      <c r="E14" s="401">
        <f>'Production stockée'!C17</f>
        <v>250</v>
      </c>
      <c r="F14" s="401">
        <f t="shared" si="0"/>
        <v>25250</v>
      </c>
    </row>
    <row r="15" spans="3:6" ht="12.75">
      <c r="C15" s="387" t="s">
        <v>221</v>
      </c>
      <c r="D15" s="401">
        <f>'Production vendue'!C18</f>
        <v>25000</v>
      </c>
      <c r="E15" s="401">
        <f>'Production stockée'!C18</f>
        <v>300</v>
      </c>
      <c r="F15" s="401">
        <f t="shared" si="0"/>
        <v>25300</v>
      </c>
    </row>
    <row r="16" spans="3:6" ht="12.75">
      <c r="C16" s="387" t="s">
        <v>222</v>
      </c>
      <c r="D16" s="401">
        <f>'Production vendue'!C19</f>
        <v>10000</v>
      </c>
      <c r="E16" s="401">
        <f>'Production stockée'!C19</f>
        <v>300</v>
      </c>
      <c r="F16" s="401">
        <f t="shared" si="0"/>
        <v>10300</v>
      </c>
    </row>
    <row r="17" spans="3:6" ht="12.75">
      <c r="C17" s="387" t="s">
        <v>223</v>
      </c>
      <c r="D17" s="401">
        <f>'Production vendue'!C20</f>
        <v>5000</v>
      </c>
      <c r="E17" s="401">
        <f>'Production stockée'!C20</f>
        <v>100</v>
      </c>
      <c r="F17" s="401">
        <f t="shared" si="0"/>
        <v>5100</v>
      </c>
    </row>
    <row r="18" spans="3:6" ht="12.75">
      <c r="C18" s="387" t="s">
        <v>224</v>
      </c>
      <c r="D18" s="401">
        <f>'Production vendue'!C21</f>
        <v>5000</v>
      </c>
      <c r="E18" s="401">
        <f>'Production stockée'!C21</f>
        <v>100</v>
      </c>
      <c r="F18" s="401">
        <f t="shared" si="0"/>
        <v>5100</v>
      </c>
    </row>
    <row r="19" spans="3:6" ht="12.75">
      <c r="C19" s="387" t="s">
        <v>225</v>
      </c>
      <c r="D19" s="401">
        <f>'Production vendue'!C22</f>
        <v>15000</v>
      </c>
      <c r="E19" s="401">
        <f>'Production stockée'!C22</f>
        <v>300</v>
      </c>
      <c r="F19" s="401">
        <f t="shared" si="0"/>
        <v>15300</v>
      </c>
    </row>
    <row r="20" spans="3:6" ht="12.75">
      <c r="C20" s="387" t="s">
        <v>253</v>
      </c>
      <c r="D20" s="401">
        <f>'Production vendue'!C23</f>
        <v>20000</v>
      </c>
      <c r="E20" s="401">
        <f>'Production stockée'!C23</f>
        <v>300</v>
      </c>
      <c r="F20" s="401">
        <f t="shared" si="0"/>
        <v>20300</v>
      </c>
    </row>
    <row r="21" spans="3:6" ht="12.75">
      <c r="C21" s="387" t="s">
        <v>226</v>
      </c>
      <c r="D21" s="401">
        <f>'Production vendue'!C24</f>
        <v>20000</v>
      </c>
      <c r="E21" s="401">
        <f>'Production stockée'!C24</f>
        <v>300</v>
      </c>
      <c r="F21" s="401">
        <f t="shared" si="0"/>
        <v>20300</v>
      </c>
    </row>
    <row r="22" spans="3:6" ht="12.75">
      <c r="C22" s="387" t="s">
        <v>227</v>
      </c>
      <c r="D22" s="401">
        <f>'Production vendue'!C25</f>
        <v>15000</v>
      </c>
      <c r="E22" s="401">
        <f>'Production stockée'!C25</f>
        <v>83</v>
      </c>
      <c r="F22" s="401">
        <f t="shared" si="0"/>
        <v>15083</v>
      </c>
    </row>
  </sheetData>
  <mergeCells count="2">
    <mergeCell ref="C9:C10"/>
    <mergeCell ref="D9:F9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&amp;CRépartition de la production totale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5">
    <tabColor indexed="9"/>
  </sheetPr>
  <dimension ref="B9:H50"/>
  <sheetViews>
    <sheetView showGridLines="0" workbookViewId="0" topLeftCell="A25">
      <selection activeCell="G52" sqref="G52"/>
    </sheetView>
  </sheetViews>
  <sheetFormatPr defaultColWidth="11.421875" defaultRowHeight="12.75"/>
  <cols>
    <col min="1" max="1" width="2.8515625" style="6" customWidth="1"/>
    <col min="2" max="2" width="47.8515625" style="6" customWidth="1"/>
    <col min="3" max="3" width="19.140625" style="353" customWidth="1"/>
    <col min="4" max="4" width="11.421875" style="6" customWidth="1"/>
    <col min="5" max="7" width="11.421875" style="275" customWidth="1"/>
    <col min="8" max="8" width="19.421875" style="275" customWidth="1"/>
    <col min="9" max="19" width="11.421875" style="275" customWidth="1"/>
    <col min="20" max="16384" width="11.421875" style="6" customWidth="1"/>
  </cols>
  <sheetData>
    <row r="1" ht="12.75"/>
    <row r="2" ht="12.75"/>
    <row r="3" ht="12.75"/>
    <row r="4" ht="12.75"/>
    <row r="5" ht="12.75"/>
    <row r="6" ht="12.75"/>
    <row r="9" spans="2:3" ht="12.75">
      <c r="B9" s="607" t="s">
        <v>337</v>
      </c>
      <c r="C9" s="609"/>
    </row>
    <row r="10" spans="2:3" ht="12.75">
      <c r="B10" s="610" t="s">
        <v>268</v>
      </c>
      <c r="C10" s="612">
        <f>apports</f>
        <v>33800</v>
      </c>
    </row>
    <row r="11" spans="2:3" ht="12.75">
      <c r="B11" s="611"/>
      <c r="C11" s="613"/>
    </row>
    <row r="12" spans="2:3" ht="12.75">
      <c r="B12" s="340"/>
      <c r="C12" s="341"/>
    </row>
    <row r="13" spans="2:4" ht="12.75">
      <c r="B13" s="614" t="s">
        <v>84</v>
      </c>
      <c r="C13" s="615"/>
      <c r="D13" s="616"/>
    </row>
    <row r="14" spans="2:4" ht="12.75">
      <c r="B14" s="617" t="s">
        <v>331</v>
      </c>
      <c r="C14" s="595">
        <f>Immobilisations!L31</f>
        <v>0</v>
      </c>
      <c r="D14" s="596"/>
    </row>
    <row r="15" spans="2:4" ht="12.75">
      <c r="B15" s="618"/>
      <c r="C15" s="597"/>
      <c r="D15" s="598"/>
    </row>
    <row r="16" spans="2:4" ht="12.75">
      <c r="B16" s="599" t="s">
        <v>332</v>
      </c>
      <c r="C16" s="601">
        <f>Immobilisations!O31</f>
        <v>0</v>
      </c>
      <c r="D16" s="602"/>
    </row>
    <row r="17" spans="2:4" ht="12.75">
      <c r="B17" s="600"/>
      <c r="C17" s="603"/>
      <c r="D17" s="604"/>
    </row>
    <row r="18" spans="2:4" ht="12.75">
      <c r="B18" s="68"/>
      <c r="C18" s="342"/>
      <c r="D18" s="319"/>
    </row>
    <row r="19" spans="2:4" ht="12.75">
      <c r="B19" s="614" t="s">
        <v>91</v>
      </c>
      <c r="C19" s="615"/>
      <c r="D19" s="616"/>
    </row>
    <row r="20" spans="2:4" ht="12.75">
      <c r="B20" s="605" t="s">
        <v>333</v>
      </c>
      <c r="C20" s="595">
        <f>Immobilisations!K31</f>
        <v>45000</v>
      </c>
      <c r="D20" s="596"/>
    </row>
    <row r="21" spans="2:4" ht="12.75">
      <c r="B21" s="606"/>
      <c r="C21" s="597"/>
      <c r="D21" s="598"/>
    </row>
    <row r="22" spans="2:4" ht="12.75">
      <c r="B22" s="599" t="s">
        <v>332</v>
      </c>
      <c r="C22" s="595">
        <f>Immobilisations!N31</f>
        <v>11250</v>
      </c>
      <c r="D22" s="596"/>
    </row>
    <row r="23" spans="2:4" ht="12.75">
      <c r="B23" s="600"/>
      <c r="C23" s="597"/>
      <c r="D23" s="598"/>
    </row>
    <row r="24" spans="2:4" ht="12.75">
      <c r="B24" s="68"/>
      <c r="C24" s="342"/>
      <c r="D24" s="319"/>
    </row>
    <row r="25" spans="2:4" ht="12.75">
      <c r="B25" s="607" t="s">
        <v>257</v>
      </c>
      <c r="C25" s="609"/>
      <c r="D25" s="319"/>
    </row>
    <row r="26" spans="2:4" ht="12.75">
      <c r="B26" s="343" t="s">
        <v>246</v>
      </c>
      <c r="C26" s="91">
        <f>IF(montant_a_emprunter="",0,montant_a_emprunter)</f>
        <v>11200</v>
      </c>
      <c r="D26" s="319"/>
    </row>
    <row r="27" spans="2:4" ht="12.75">
      <c r="B27" s="343" t="s">
        <v>247</v>
      </c>
      <c r="C27" s="344">
        <f>taux_emprunt/100</f>
        <v>0.06</v>
      </c>
      <c r="D27" s="319"/>
    </row>
    <row r="28" spans="2:4" ht="12.75">
      <c r="B28" s="343" t="s">
        <v>434</v>
      </c>
      <c r="C28" s="345">
        <f>duree_emprunt</f>
        <v>60</v>
      </c>
      <c r="D28" s="319"/>
    </row>
    <row r="29" spans="2:4" ht="12.75">
      <c r="B29" s="343" t="s">
        <v>250</v>
      </c>
      <c r="C29" s="91">
        <f>annuite</f>
        <v>4918.26470908659</v>
      </c>
      <c r="D29" s="319"/>
    </row>
    <row r="30" spans="2:4" ht="12.75">
      <c r="B30" s="343" t="s">
        <v>251</v>
      </c>
      <c r="C30" s="91">
        <f>interets</f>
        <v>1170.0375634998072</v>
      </c>
      <c r="D30" s="319"/>
    </row>
    <row r="31" spans="2:4" ht="12.75">
      <c r="B31" s="343" t="s">
        <v>433</v>
      </c>
      <c r="C31" s="91">
        <f>mensualite_emprunt</f>
        <v>409.8553924238826</v>
      </c>
      <c r="D31" s="319"/>
    </row>
    <row r="32" spans="2:4" ht="12.75">
      <c r="B32" s="346" t="s">
        <v>254</v>
      </c>
      <c r="C32" s="92">
        <f>restant_du</f>
        <v>17451.772854413215</v>
      </c>
      <c r="D32" s="319"/>
    </row>
    <row r="33" spans="2:4" ht="12.75">
      <c r="B33" s="68"/>
      <c r="C33" s="342"/>
      <c r="D33" s="319"/>
    </row>
    <row r="34" spans="2:4" ht="12.75">
      <c r="B34" s="607" t="s">
        <v>171</v>
      </c>
      <c r="C34" s="609"/>
      <c r="D34" s="319"/>
    </row>
    <row r="35" spans="2:4" ht="12.75">
      <c r="B35" s="347" t="s">
        <v>380</v>
      </c>
      <c r="C35" s="348">
        <f>Stocks!F24</f>
        <v>3478.2608695652175</v>
      </c>
      <c r="D35" s="319"/>
    </row>
    <row r="36" spans="2:4" ht="12.75">
      <c r="B36" s="349" t="s">
        <v>245</v>
      </c>
      <c r="C36" s="350">
        <f>Stocks!F44</f>
        <v>8345.954392759482</v>
      </c>
      <c r="D36" s="319"/>
    </row>
    <row r="37" spans="2:4" ht="12.75">
      <c r="B37" s="68"/>
      <c r="C37" s="351"/>
      <c r="D37" s="319"/>
    </row>
    <row r="38" spans="2:4" ht="12.75">
      <c r="B38" s="607" t="s">
        <v>252</v>
      </c>
      <c r="C38" s="608"/>
      <c r="D38" s="609"/>
    </row>
    <row r="39" spans="2:4" ht="12.75">
      <c r="B39" s="22" t="s">
        <v>243</v>
      </c>
      <c r="C39" s="352">
        <f>Besoins!E29</f>
        <v>5000</v>
      </c>
      <c r="D39" s="22" t="s">
        <v>239</v>
      </c>
    </row>
    <row r="40" spans="2:8" ht="12.75">
      <c r="B40" s="29" t="s">
        <v>240</v>
      </c>
      <c r="C40" s="120">
        <f>Besoins!E30</f>
        <v>1000</v>
      </c>
      <c r="D40" s="29" t="s">
        <v>239</v>
      </c>
      <c r="G40" s="275" t="s">
        <v>407</v>
      </c>
      <c r="H40" s="403">
        <f>SUM(C39:C46)*12+dap1+dap2+budgetpub+interets</f>
        <v>464637.24044634873</v>
      </c>
    </row>
    <row r="41" spans="2:4" ht="12.75">
      <c r="B41" s="29" t="s">
        <v>242</v>
      </c>
      <c r="C41" s="120">
        <f>Besoins!E31</f>
        <v>500</v>
      </c>
      <c r="D41" s="29" t="s">
        <v>239</v>
      </c>
    </row>
    <row r="42" spans="2:4" ht="12.75">
      <c r="B42" s="29" t="s">
        <v>238</v>
      </c>
      <c r="C42" s="120">
        <f>Besoins!E32</f>
        <v>2000</v>
      </c>
      <c r="D42" s="29" t="s">
        <v>239</v>
      </c>
    </row>
    <row r="43" spans="2:4" ht="12.75">
      <c r="B43" s="29" t="s">
        <v>241</v>
      </c>
      <c r="C43" s="120">
        <f>Besoins!E33</f>
        <v>15000</v>
      </c>
      <c r="D43" s="29" t="s">
        <v>239</v>
      </c>
    </row>
    <row r="44" spans="2:4" ht="12.75">
      <c r="B44" s="29" t="s">
        <v>9</v>
      </c>
      <c r="C44" s="120">
        <f>Besoins!E34</f>
        <v>6750</v>
      </c>
      <c r="D44" s="29" t="s">
        <v>239</v>
      </c>
    </row>
    <row r="45" spans="2:4" ht="12.75">
      <c r="B45" s="29" t="s">
        <v>244</v>
      </c>
      <c r="C45" s="120">
        <f>Besoins!E35</f>
        <v>500</v>
      </c>
      <c r="D45" s="29" t="s">
        <v>239</v>
      </c>
    </row>
    <row r="46" spans="2:4" ht="12.75">
      <c r="B46" s="29" t="s">
        <v>249</v>
      </c>
      <c r="C46" s="120">
        <f>Besoins!E36</f>
        <v>3500</v>
      </c>
      <c r="D46" s="29" t="s">
        <v>239</v>
      </c>
    </row>
    <row r="47" spans="2:4" ht="12.75">
      <c r="B47" s="29" t="s">
        <v>248</v>
      </c>
      <c r="C47" s="120">
        <f>Besoins!E37</f>
        <v>1500</v>
      </c>
      <c r="D47" s="29" t="s">
        <v>239</v>
      </c>
    </row>
    <row r="48" spans="2:4" ht="12.75">
      <c r="B48" s="11" t="s">
        <v>20</v>
      </c>
      <c r="C48" s="119">
        <f>SUM(C39:C47)</f>
        <v>35750</v>
      </c>
      <c r="D48" s="11" t="s">
        <v>239</v>
      </c>
    </row>
    <row r="50" spans="2:3" ht="12.75">
      <c r="B50" s="354" t="s">
        <v>409</v>
      </c>
      <c r="C50" s="350">
        <f>budgetpub</f>
        <v>41217.20288284894</v>
      </c>
    </row>
  </sheetData>
  <sheetProtection password="B702" sheet="1" objects="1" scenarios="1"/>
  <mergeCells count="16">
    <mergeCell ref="B38:D38"/>
    <mergeCell ref="B25:C25"/>
    <mergeCell ref="B34:C34"/>
    <mergeCell ref="B9:C9"/>
    <mergeCell ref="B10:B11"/>
    <mergeCell ref="C10:C11"/>
    <mergeCell ref="B13:D13"/>
    <mergeCell ref="B19:D19"/>
    <mergeCell ref="B14:B15"/>
    <mergeCell ref="B22:B23"/>
    <mergeCell ref="C22:D23"/>
    <mergeCell ref="C14:D15"/>
    <mergeCell ref="B16:B17"/>
    <mergeCell ref="C16:D17"/>
    <mergeCell ref="C20:D21"/>
    <mergeCell ref="B20:B21"/>
  </mergeCells>
  <printOptions/>
  <pageMargins left="0.7874015748031497" right="0.7874015748031497" top="0.3937007874015748" bottom="0.984251968503937" header="0.5118110236220472" footer="0.5118110236220472"/>
  <pageSetup horizontalDpi="300" verticalDpi="300" orientation="portrait" paperSize="9" r:id="rId2"/>
  <headerFooter alignWithMargins="0">
    <oddFooter>&amp;CSynthèse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6">
    <tabColor indexed="60"/>
  </sheetPr>
  <dimension ref="A8:F65"/>
  <sheetViews>
    <sheetView showGridLines="0" workbookViewId="0" topLeftCell="A16">
      <selection activeCell="F29" sqref="F29"/>
    </sheetView>
  </sheetViews>
  <sheetFormatPr defaultColWidth="11.421875" defaultRowHeight="12.75"/>
  <cols>
    <col min="1" max="1" width="1.8515625" style="356" customWidth="1"/>
    <col min="2" max="2" width="13.140625" style="356" customWidth="1"/>
    <col min="3" max="3" width="17.28125" style="357" customWidth="1"/>
    <col min="4" max="4" width="17.140625" style="357" customWidth="1"/>
    <col min="5" max="5" width="15.7109375" style="357" customWidth="1"/>
    <col min="6" max="6" width="17.140625" style="357" customWidth="1"/>
    <col min="7" max="7" width="15.7109375" style="356" customWidth="1"/>
    <col min="8" max="16384" width="11.421875" style="356" customWidth="1"/>
  </cols>
  <sheetData>
    <row r="1" ht="12"/>
    <row r="2" ht="12"/>
    <row r="3" ht="12"/>
    <row r="4" ht="12"/>
    <row r="5" ht="12"/>
    <row r="6" ht="12"/>
    <row r="7" ht="12"/>
    <row r="8" spans="1:6" ht="12">
      <c r="A8" s="355"/>
      <c r="B8" s="355"/>
      <c r="C8" s="355"/>
      <c r="D8" s="355"/>
      <c r="E8" s="355"/>
      <c r="F8" s="355"/>
    </row>
    <row r="9" spans="1:6" ht="12">
      <c r="A9" s="355"/>
      <c r="B9" s="355"/>
      <c r="C9" s="355"/>
      <c r="D9" s="355"/>
      <c r="E9" s="355"/>
      <c r="F9" s="355"/>
    </row>
    <row r="10" spans="1:6" ht="12">
      <c r="A10" s="355"/>
      <c r="B10" s="619" t="s">
        <v>269</v>
      </c>
      <c r="C10" s="620"/>
      <c r="D10" s="620"/>
      <c r="E10" s="621"/>
      <c r="F10" s="355"/>
    </row>
    <row r="11" spans="1:6" ht="12">
      <c r="A11" s="355"/>
      <c r="B11" s="622" t="s">
        <v>255</v>
      </c>
      <c r="C11" s="623"/>
      <c r="D11" s="624" t="s">
        <v>256</v>
      </c>
      <c r="E11" s="625"/>
      <c r="F11" s="355"/>
    </row>
    <row r="12" spans="1:6" ht="12">
      <c r="A12" s="355"/>
      <c r="B12" s="231" t="s">
        <v>259</v>
      </c>
      <c r="C12" s="232">
        <f>capital</f>
        <v>33800</v>
      </c>
      <c r="D12" s="232" t="s">
        <v>131</v>
      </c>
      <c r="E12" s="232">
        <f>Besoins!E11</f>
        <v>33800</v>
      </c>
      <c r="F12" s="355"/>
    </row>
    <row r="13" spans="1:6" ht="12">
      <c r="A13" s="355"/>
      <c r="B13" s="233" t="s">
        <v>172</v>
      </c>
      <c r="C13" s="234">
        <f>C12</f>
        <v>33800</v>
      </c>
      <c r="D13" s="234" t="s">
        <v>172</v>
      </c>
      <c r="E13" s="234">
        <f>E12</f>
        <v>33800</v>
      </c>
      <c r="F13" s="355"/>
    </row>
    <row r="14" spans="2:5" ht="12">
      <c r="B14" s="235"/>
      <c r="C14" s="236"/>
      <c r="D14" s="236"/>
      <c r="E14" s="236"/>
    </row>
    <row r="15" spans="2:5" ht="12">
      <c r="B15" s="619" t="s">
        <v>270</v>
      </c>
      <c r="C15" s="620"/>
      <c r="D15" s="620"/>
      <c r="E15" s="621"/>
    </row>
    <row r="16" spans="2:5" ht="12">
      <c r="B16" s="622" t="s">
        <v>255</v>
      </c>
      <c r="C16" s="623"/>
      <c r="D16" s="624" t="s">
        <v>256</v>
      </c>
      <c r="E16" s="625"/>
    </row>
    <row r="17" spans="2:5" ht="12">
      <c r="B17" s="237" t="s">
        <v>258</v>
      </c>
      <c r="C17" s="232">
        <f>Immobilisations!L33</f>
        <v>45000</v>
      </c>
      <c r="D17" s="232" t="s">
        <v>131</v>
      </c>
      <c r="E17" s="232">
        <f>capital</f>
        <v>33800</v>
      </c>
    </row>
    <row r="18" spans="2:5" ht="12">
      <c r="B18" s="238" t="s">
        <v>259</v>
      </c>
      <c r="C18" s="239">
        <f>banquedebut+emprunt</f>
        <v>45000</v>
      </c>
      <c r="D18" s="239" t="s">
        <v>257</v>
      </c>
      <c r="E18" s="239">
        <f>emprunt</f>
        <v>11200</v>
      </c>
    </row>
    <row r="19" spans="2:5" ht="12">
      <c r="B19" s="238"/>
      <c r="C19" s="239"/>
      <c r="D19" s="239" t="s">
        <v>271</v>
      </c>
      <c r="E19" s="239">
        <f>C17</f>
        <v>45000</v>
      </c>
    </row>
    <row r="20" spans="2:5" ht="12">
      <c r="B20" s="240" t="s">
        <v>172</v>
      </c>
      <c r="C20" s="234">
        <f>C17+C18</f>
        <v>90000</v>
      </c>
      <c r="D20" s="234" t="s">
        <v>172</v>
      </c>
      <c r="E20" s="234">
        <f>SUM(E17:E19)</f>
        <v>90000</v>
      </c>
    </row>
    <row r="21" spans="2:5" ht="12">
      <c r="B21" s="235"/>
      <c r="C21" s="236"/>
      <c r="D21" s="236"/>
      <c r="E21" s="236"/>
    </row>
    <row r="22" spans="2:5" ht="12">
      <c r="B22" s="619" t="s">
        <v>260</v>
      </c>
      <c r="C22" s="620"/>
      <c r="D22" s="621"/>
      <c r="E22" s="236"/>
    </row>
    <row r="23" spans="2:5" ht="12">
      <c r="B23" s="627" t="s">
        <v>234</v>
      </c>
      <c r="C23" s="628"/>
      <c r="D23" s="358">
        <f>'C.A. prévisionnel'!K41</f>
        <v>824344.0576569787</v>
      </c>
      <c r="E23" s="236"/>
    </row>
    <row r="24" spans="2:5" ht="12">
      <c r="B24" s="629" t="s">
        <v>382</v>
      </c>
      <c r="C24" s="630"/>
      <c r="D24" s="359">
        <f>Stocks!F18+Stocks!F24</f>
        <v>163478.26086956522</v>
      </c>
      <c r="E24" s="236"/>
    </row>
    <row r="25" spans="2:4" ht="12">
      <c r="B25" s="360"/>
      <c r="C25" s="360"/>
      <c r="D25" s="361"/>
    </row>
    <row r="26" spans="2:6" ht="12">
      <c r="B26" s="619" t="s">
        <v>383</v>
      </c>
      <c r="C26" s="620"/>
      <c r="D26" s="620"/>
      <c r="E26" s="620"/>
      <c r="F26" s="621"/>
    </row>
    <row r="27" spans="2:6" ht="12">
      <c r="B27" s="237"/>
      <c r="C27" s="362" t="s">
        <v>228</v>
      </c>
      <c r="D27" s="363" t="s">
        <v>230</v>
      </c>
      <c r="E27" s="363" t="s">
        <v>232</v>
      </c>
      <c r="F27" s="363" t="s">
        <v>228</v>
      </c>
    </row>
    <row r="28" spans="2:6" ht="12">
      <c r="B28" s="364"/>
      <c r="C28" s="365" t="s">
        <v>229</v>
      </c>
      <c r="D28" s="366" t="s">
        <v>231</v>
      </c>
      <c r="E28" s="366" t="s">
        <v>231</v>
      </c>
      <c r="F28" s="366" t="s">
        <v>233</v>
      </c>
    </row>
    <row r="29" spans="2:6" ht="12">
      <c r="B29" s="238" t="s">
        <v>217</v>
      </c>
      <c r="C29" s="241">
        <f>banquedepart</f>
        <v>45000</v>
      </c>
      <c r="D29" s="367">
        <f>'Production vendue'!E14</f>
        <v>47105.374723255925</v>
      </c>
      <c r="E29" s="368">
        <f>Stocks!D12</f>
        <v>5000</v>
      </c>
      <c r="F29" s="242">
        <f>C29+D29-E29</f>
        <v>87105.37472325593</v>
      </c>
    </row>
    <row r="30" spans="2:6" ht="12">
      <c r="B30" s="238" t="s">
        <v>218</v>
      </c>
      <c r="C30" s="243">
        <f>finjanvier</f>
        <v>87105.37472325593</v>
      </c>
      <c r="D30" s="369">
        <f>'Production vendue'!E15</f>
        <v>47105.374723255925</v>
      </c>
      <c r="E30" s="370">
        <f>Stocks!D13</f>
        <v>10000</v>
      </c>
      <c r="F30" s="244">
        <f aca="true" t="shared" si="0" ref="F30:F40">C30+D30-E30</f>
        <v>124210.74944651185</v>
      </c>
    </row>
    <row r="31" spans="2:6" ht="12">
      <c r="B31" s="238" t="s">
        <v>219</v>
      </c>
      <c r="C31" s="243">
        <f>finfevrier</f>
        <v>124210.74944651185</v>
      </c>
      <c r="D31" s="369">
        <f>'Production vendue'!E16</f>
        <v>70658.06208488389</v>
      </c>
      <c r="E31" s="370">
        <f>Stocks!D14</f>
        <v>10000</v>
      </c>
      <c r="F31" s="244">
        <f t="shared" si="0"/>
        <v>184868.81153139574</v>
      </c>
    </row>
    <row r="32" spans="2:6" ht="12">
      <c r="B32" s="238" t="s">
        <v>220</v>
      </c>
      <c r="C32" s="243">
        <f>finmars</f>
        <v>184868.81153139574</v>
      </c>
      <c r="D32" s="369">
        <f>'Production vendue'!E17</f>
        <v>117763.43680813981</v>
      </c>
      <c r="E32" s="370">
        <f>Stocks!D15</f>
        <v>15000</v>
      </c>
      <c r="F32" s="244">
        <f t="shared" si="0"/>
        <v>287632.24833953555</v>
      </c>
    </row>
    <row r="33" spans="2:6" ht="12">
      <c r="B33" s="238" t="s">
        <v>221</v>
      </c>
      <c r="C33" s="243">
        <f>finavril</f>
        <v>287632.24833953555</v>
      </c>
      <c r="D33" s="369">
        <f>'Production vendue'!E18</f>
        <v>117763.43680813981</v>
      </c>
      <c r="E33" s="370">
        <f>Stocks!D16</f>
        <v>15000</v>
      </c>
      <c r="F33" s="244">
        <f t="shared" si="0"/>
        <v>390395.68514767534</v>
      </c>
    </row>
    <row r="34" spans="2:6" ht="12">
      <c r="B34" s="238" t="s">
        <v>222</v>
      </c>
      <c r="C34" s="243">
        <f>finmai</f>
        <v>390395.68514767534</v>
      </c>
      <c r="D34" s="369">
        <f>'Production vendue'!E19</f>
        <v>47105.374723255925</v>
      </c>
      <c r="E34" s="370">
        <f>Stocks!D17</f>
        <v>15000</v>
      </c>
      <c r="F34" s="244">
        <f t="shared" si="0"/>
        <v>422501.05987093126</v>
      </c>
    </row>
    <row r="35" spans="2:6" ht="12">
      <c r="B35" s="238" t="s">
        <v>223</v>
      </c>
      <c r="C35" s="243">
        <f>finjuin</f>
        <v>422501.05987093126</v>
      </c>
      <c r="D35" s="369">
        <f>'Production vendue'!E20</f>
        <v>23552.687361627963</v>
      </c>
      <c r="E35" s="370">
        <f>Stocks!F12</f>
        <v>15000</v>
      </c>
      <c r="F35" s="244">
        <f t="shared" si="0"/>
        <v>431053.74723255925</v>
      </c>
    </row>
    <row r="36" spans="2:6" ht="12">
      <c r="B36" s="238" t="s">
        <v>224</v>
      </c>
      <c r="C36" s="243">
        <f>finjuillet</f>
        <v>431053.74723255925</v>
      </c>
      <c r="D36" s="369">
        <f>'Production vendue'!E21</f>
        <v>23552.687361627963</v>
      </c>
      <c r="E36" s="370">
        <f>Stocks!F13</f>
        <v>15000</v>
      </c>
      <c r="F36" s="244">
        <f t="shared" si="0"/>
        <v>439606.4345941872</v>
      </c>
    </row>
    <row r="37" spans="2:6" ht="12">
      <c r="B37" s="238" t="s">
        <v>225</v>
      </c>
      <c r="C37" s="243">
        <f>finaout</f>
        <v>439606.4345941872</v>
      </c>
      <c r="D37" s="369">
        <f>'Production vendue'!E22</f>
        <v>70658.06208488389</v>
      </c>
      <c r="E37" s="370">
        <f>Stocks!F14</f>
        <v>10000</v>
      </c>
      <c r="F37" s="244">
        <f t="shared" si="0"/>
        <v>500264.4966790711</v>
      </c>
    </row>
    <row r="38" spans="2:6" ht="12">
      <c r="B38" s="238" t="s">
        <v>253</v>
      </c>
      <c r="C38" s="243">
        <f>finseptembre</f>
        <v>500264.4966790711</v>
      </c>
      <c r="D38" s="369">
        <f>'Production vendue'!E23</f>
        <v>94210.74944651185</v>
      </c>
      <c r="E38" s="370">
        <f>Stocks!F15</f>
        <v>10000</v>
      </c>
      <c r="F38" s="244">
        <f t="shared" si="0"/>
        <v>584475.246125583</v>
      </c>
    </row>
    <row r="39" spans="2:6" ht="12">
      <c r="B39" s="238" t="s">
        <v>226</v>
      </c>
      <c r="C39" s="243">
        <f>finoctobre</f>
        <v>584475.246125583</v>
      </c>
      <c r="D39" s="369">
        <f>'Production vendue'!E24</f>
        <v>94210.74944651185</v>
      </c>
      <c r="E39" s="370">
        <f>Stocks!F16</f>
        <v>20000</v>
      </c>
      <c r="F39" s="244">
        <f t="shared" si="0"/>
        <v>658685.9955720948</v>
      </c>
    </row>
    <row r="40" spans="2:6" ht="12">
      <c r="B40" s="238" t="s">
        <v>227</v>
      </c>
      <c r="C40" s="243">
        <f>finnovembre</f>
        <v>658685.9955720948</v>
      </c>
      <c r="D40" s="369">
        <f>'Production vendue'!E25</f>
        <v>70658.06208488389</v>
      </c>
      <c r="E40" s="370">
        <f>Stocks!F17</f>
        <v>20000</v>
      </c>
      <c r="F40" s="245">
        <f t="shared" si="0"/>
        <v>709344.0576569787</v>
      </c>
    </row>
    <row r="41" spans="2:6" ht="12">
      <c r="B41" s="622" t="s">
        <v>172</v>
      </c>
      <c r="C41" s="623"/>
      <c r="D41" s="246">
        <f>SUM(D29:D40)</f>
        <v>824344.0576569787</v>
      </c>
      <c r="E41" s="246">
        <f>SUM(E29:E40)</f>
        <v>160000</v>
      </c>
      <c r="F41" s="247"/>
    </row>
    <row r="43" spans="1:6" ht="12">
      <c r="A43" s="371"/>
      <c r="B43" s="371"/>
      <c r="C43" s="361"/>
      <c r="D43" s="361"/>
      <c r="E43" s="361"/>
      <c r="F43" s="361"/>
    </row>
    <row r="44" spans="1:6" ht="12">
      <c r="A44" s="371"/>
      <c r="B44" s="631"/>
      <c r="C44" s="631"/>
      <c r="D44" s="631"/>
      <c r="E44" s="631"/>
      <c r="F44" s="631"/>
    </row>
    <row r="45" spans="1:6" ht="12">
      <c r="A45" s="371"/>
      <c r="B45" s="371"/>
      <c r="C45" s="372"/>
      <c r="D45" s="372"/>
      <c r="E45" s="372"/>
      <c r="F45" s="372"/>
    </row>
    <row r="46" spans="1:6" ht="12">
      <c r="A46" s="371"/>
      <c r="B46" s="371"/>
      <c r="C46" s="372"/>
      <c r="D46" s="372"/>
      <c r="E46" s="372"/>
      <c r="F46" s="372"/>
    </row>
    <row r="47" spans="1:6" ht="12">
      <c r="A47" s="371"/>
      <c r="B47" s="371"/>
      <c r="C47" s="361"/>
      <c r="D47" s="373"/>
      <c r="E47" s="373"/>
      <c r="F47" s="361"/>
    </row>
    <row r="48" spans="1:6" ht="12">
      <c r="A48" s="371"/>
      <c r="B48" s="371"/>
      <c r="C48" s="361"/>
      <c r="D48" s="373"/>
      <c r="E48" s="373"/>
      <c r="F48" s="361"/>
    </row>
    <row r="49" spans="1:6" ht="12">
      <c r="A49" s="371"/>
      <c r="B49" s="371"/>
      <c r="C49" s="361"/>
      <c r="D49" s="373"/>
      <c r="E49" s="373"/>
      <c r="F49" s="361"/>
    </row>
    <row r="50" spans="1:6" ht="12">
      <c r="A50" s="371"/>
      <c r="B50" s="371"/>
      <c r="C50" s="361"/>
      <c r="D50" s="373"/>
      <c r="E50" s="373"/>
      <c r="F50" s="361"/>
    </row>
    <row r="51" spans="1:6" ht="12">
      <c r="A51" s="371"/>
      <c r="B51" s="371"/>
      <c r="C51" s="361"/>
      <c r="D51" s="373"/>
      <c r="E51" s="373"/>
      <c r="F51" s="361"/>
    </row>
    <row r="52" spans="1:6" ht="12">
      <c r="A52" s="371"/>
      <c r="B52" s="371"/>
      <c r="C52" s="361"/>
      <c r="D52" s="373"/>
      <c r="E52" s="373"/>
      <c r="F52" s="361"/>
    </row>
    <row r="53" spans="1:6" ht="12">
      <c r="A53" s="371"/>
      <c r="B53" s="371"/>
      <c r="C53" s="361"/>
      <c r="D53" s="373"/>
      <c r="E53" s="373"/>
      <c r="F53" s="361"/>
    </row>
    <row r="54" spans="1:6" ht="12">
      <c r="A54" s="371"/>
      <c r="B54" s="371"/>
      <c r="C54" s="361"/>
      <c r="D54" s="373"/>
      <c r="E54" s="373"/>
      <c r="F54" s="361"/>
    </row>
    <row r="55" spans="1:6" ht="12">
      <c r="A55" s="371"/>
      <c r="B55" s="371"/>
      <c r="C55" s="361"/>
      <c r="D55" s="373"/>
      <c r="E55" s="373"/>
      <c r="F55" s="361"/>
    </row>
    <row r="56" spans="1:6" ht="12">
      <c r="A56" s="371"/>
      <c r="B56" s="371"/>
      <c r="C56" s="361"/>
      <c r="D56" s="373"/>
      <c r="E56" s="373"/>
      <c r="F56" s="361"/>
    </row>
    <row r="57" spans="1:6" ht="12">
      <c r="A57" s="371"/>
      <c r="B57" s="371"/>
      <c r="C57" s="361"/>
      <c r="D57" s="373"/>
      <c r="E57" s="373"/>
      <c r="F57" s="361"/>
    </row>
    <row r="58" spans="1:6" ht="12">
      <c r="A58" s="371"/>
      <c r="B58" s="371"/>
      <c r="C58" s="361"/>
      <c r="D58" s="373"/>
      <c r="E58" s="373"/>
      <c r="F58" s="361"/>
    </row>
    <row r="59" spans="1:6" ht="12">
      <c r="A59" s="371"/>
      <c r="B59" s="626"/>
      <c r="C59" s="626"/>
      <c r="D59" s="361"/>
      <c r="E59" s="361"/>
      <c r="F59" s="361"/>
    </row>
    <row r="60" spans="1:6" ht="12">
      <c r="A60" s="371"/>
      <c r="B60" s="374"/>
      <c r="C60" s="374"/>
      <c r="D60" s="361"/>
      <c r="E60" s="361"/>
      <c r="F60" s="361"/>
    </row>
    <row r="61" spans="1:6" ht="12">
      <c r="A61" s="371"/>
      <c r="B61" s="371"/>
      <c r="C61" s="361"/>
      <c r="D61" s="361"/>
      <c r="E61" s="361"/>
      <c r="F61" s="361"/>
    </row>
    <row r="62" spans="1:6" ht="12">
      <c r="A62" s="371"/>
      <c r="B62" s="375"/>
      <c r="C62" s="376"/>
      <c r="D62" s="361"/>
      <c r="E62" s="361"/>
      <c r="F62" s="361"/>
    </row>
    <row r="63" spans="1:6" ht="12">
      <c r="A63" s="371"/>
      <c r="B63" s="375"/>
      <c r="C63" s="376"/>
      <c r="D63" s="361"/>
      <c r="E63" s="361"/>
      <c r="F63" s="361"/>
    </row>
    <row r="64" spans="1:6" ht="12">
      <c r="A64" s="371"/>
      <c r="B64" s="375"/>
      <c r="C64" s="376"/>
      <c r="D64" s="361"/>
      <c r="E64" s="361"/>
      <c r="F64" s="361"/>
    </row>
    <row r="65" spans="1:6" ht="12">
      <c r="A65" s="371"/>
      <c r="B65" s="371"/>
      <c r="C65" s="361"/>
      <c r="D65" s="361"/>
      <c r="E65" s="361"/>
      <c r="F65" s="361"/>
    </row>
  </sheetData>
  <sheetProtection password="B702" sheet="1" objects="1" scenarios="1"/>
  <mergeCells count="13">
    <mergeCell ref="B59:C59"/>
    <mergeCell ref="B41:C41"/>
    <mergeCell ref="B23:C23"/>
    <mergeCell ref="B24:C24"/>
    <mergeCell ref="B26:F26"/>
    <mergeCell ref="B44:F44"/>
    <mergeCell ref="B22:D22"/>
    <mergeCell ref="B16:C16"/>
    <mergeCell ref="B10:E10"/>
    <mergeCell ref="B11:C11"/>
    <mergeCell ref="D11:E11"/>
    <mergeCell ref="D16:E16"/>
    <mergeCell ref="B15:E15"/>
  </mergeCells>
  <printOptions/>
  <pageMargins left="0.75" right="0.75" top="1" bottom="1" header="0.4921259845" footer="0.4921259845"/>
  <pageSetup horizontalDpi="300" verticalDpi="300" orientation="portrait" paperSize="9" r:id="rId2"/>
  <headerFooter alignWithMargins="0">
    <oddFooter>&amp;CLes achats et les ventes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7">
    <tabColor indexed="18"/>
  </sheetPr>
  <dimension ref="A5:J60"/>
  <sheetViews>
    <sheetView showGridLines="0" workbookViewId="0" topLeftCell="A31">
      <selection activeCell="C45" sqref="C45"/>
    </sheetView>
  </sheetViews>
  <sheetFormatPr defaultColWidth="11.421875" defaultRowHeight="12.75"/>
  <cols>
    <col min="1" max="1" width="25.7109375" style="8" customWidth="1"/>
    <col min="2" max="4" width="15.7109375" style="13" customWidth="1"/>
    <col min="5" max="5" width="15.7109375" style="14" customWidth="1"/>
    <col min="6" max="6" width="18.7109375" style="404" customWidth="1"/>
    <col min="7" max="7" width="23.7109375" style="404" customWidth="1"/>
    <col min="8" max="8" width="12.7109375" style="194" customWidth="1"/>
    <col min="9" max="14" width="15.7109375" style="194" customWidth="1"/>
    <col min="15" max="15" width="9.7109375" style="194" customWidth="1"/>
    <col min="16" max="27" width="11.421875" style="194" customWidth="1"/>
    <col min="28" max="16384" width="11.421875" style="8" customWidth="1"/>
  </cols>
  <sheetData>
    <row r="1" ht="12.75"/>
    <row r="2" ht="12.75"/>
    <row r="3" ht="12.75"/>
    <row r="4" ht="12.75"/>
    <row r="5" spans="9:10" ht="12.75">
      <c r="I5" s="194" t="s">
        <v>217</v>
      </c>
      <c r="J5" s="274">
        <f>B23</f>
        <v>54866.59035003533</v>
      </c>
    </row>
    <row r="6" spans="9:10" ht="12.75">
      <c r="I6" s="194" t="s">
        <v>402</v>
      </c>
      <c r="J6" s="274">
        <f>C23</f>
        <v>55348.341564925344</v>
      </c>
    </row>
    <row r="7" spans="1:10" ht="12.75">
      <c r="A7" s="60"/>
      <c r="B7" s="61" t="s">
        <v>217</v>
      </c>
      <c r="C7" s="61" t="s">
        <v>218</v>
      </c>
      <c r="D7" s="61" t="s">
        <v>219</v>
      </c>
      <c r="E7" s="61" t="s">
        <v>220</v>
      </c>
      <c r="I7" s="194" t="s">
        <v>219</v>
      </c>
      <c r="J7" s="274">
        <f>D23</f>
        <v>5530.73812344906</v>
      </c>
    </row>
    <row r="8" spans="1:10" ht="12.75">
      <c r="A8" s="9" t="s">
        <v>265</v>
      </c>
      <c r="B8" s="121">
        <f>apports+emprunt_total</f>
        <v>55000</v>
      </c>
      <c r="C8" s="121">
        <f>B23</f>
        <v>54866.59035003533</v>
      </c>
      <c r="D8" s="121">
        <f>C23</f>
        <v>55348.341564925344</v>
      </c>
      <c r="E8" s="121">
        <f>D23</f>
        <v>5530.73812344906</v>
      </c>
      <c r="G8" s="404" t="s">
        <v>394</v>
      </c>
      <c r="I8" s="194" t="s">
        <v>220</v>
      </c>
      <c r="J8" s="274">
        <f>E23</f>
        <v>71670.55142322296</v>
      </c>
    </row>
    <row r="9" spans="1:10" ht="12.75">
      <c r="A9" s="10" t="s">
        <v>261</v>
      </c>
      <c r="B9" s="121">
        <f>IF(delai=0,ventesjanvier,0)</f>
        <v>47105.374723255925</v>
      </c>
      <c r="C9" s="121">
        <f>IF(delai=0,ventesfevrier,IF(delai=1,ventesjanvier,0))</f>
        <v>47105.374723255925</v>
      </c>
      <c r="D9" s="121">
        <f>IF(delai=0,ventesmars,IF(delai=1,ventesfevrier,IF(delai=2,ventesjanvier,0)))</f>
        <v>70658.06208488389</v>
      </c>
      <c r="E9" s="121">
        <f>IF(delai=0,ventesavril,IF(delai=1,ventesmars,IF(delai=2,ventesfevrier,IF(delai=3,ventesjanvier,0))))</f>
        <v>117763.43680813981</v>
      </c>
      <c r="F9" s="405">
        <f>SUM(B9:E9)</f>
        <v>282632.24833953555</v>
      </c>
      <c r="G9" s="406">
        <f>SUM(D10:E10)+SUM(B28:E28)+SUM(B44:E44)+fournisseurs+(-stockfinalmp)</f>
        <v>153115.9420289855</v>
      </c>
      <c r="I9" s="194" t="s">
        <v>221</v>
      </c>
      <c r="J9" s="274">
        <f>B39</f>
        <v>137810.36472299686</v>
      </c>
    </row>
    <row r="10" spans="1:10" ht="12.75">
      <c r="A10" s="10" t="s">
        <v>264</v>
      </c>
      <c r="B10" s="121">
        <f>IF(delaiachats=0,achatsjanvier+(stockfinal/12)+(achatenplus/12),0)</f>
        <v>5463.768115942029</v>
      </c>
      <c r="C10" s="121">
        <f>IF(delaiachats=1,achatsjanvier+(stockfinal/12)+(achatenplus/12),IF(delaiachats=0,achatsfevrier+(stockfinal/12)+(achatenplus/12),0))</f>
        <v>10463.768115942028</v>
      </c>
      <c r="D10" s="121">
        <f>IF(delaiachats=2,achatsjanvier+(stockfinal/12)+(achatenplus/12),IF(delaiachats=1,achatsfevrier+(stockfinal/12)+(achatenplus/12),IF(delaiachats=0,achatsmars+(stockfinal/12)+(achatenplus/12),0)))</f>
        <v>10463.768115942028</v>
      </c>
      <c r="E10" s="121">
        <f>IF(delaiachats=3,achatsjanvier+(stockfinal/12)+(achatenplus/12),IF(delaiachats=2,achatsfevrier+(stockfinal/12)+(achatenplus/12),IF(delaiachats=1,achatsmars+(stockfinal/12)+(achatenplus/12),IF(delaiachats=0,achatsavril+(stockfinal/12)+(achatenplus/12),0))))</f>
        <v>15463.768115942028</v>
      </c>
      <c r="F10" s="405">
        <f>SUM(B10:E10)</f>
        <v>41855.07246376811</v>
      </c>
      <c r="I10" s="194" t="s">
        <v>222</v>
      </c>
      <c r="J10" s="274">
        <f>C39</f>
        <v>133292.11593788688</v>
      </c>
    </row>
    <row r="11" spans="1:10" ht="12.75">
      <c r="A11" s="10" t="s">
        <v>258</v>
      </c>
      <c r="B11" s="121"/>
      <c r="C11" s="121">
        <f>immo30</f>
        <v>0</v>
      </c>
      <c r="D11" s="121">
        <f>immo60</f>
        <v>45000</v>
      </c>
      <c r="E11" s="121">
        <f>immo90</f>
        <v>0</v>
      </c>
      <c r="G11" s="404" t="s">
        <v>6</v>
      </c>
      <c r="I11" s="194" t="s">
        <v>223</v>
      </c>
      <c r="J11" s="274">
        <f>D39</f>
        <v>105221.17979114893</v>
      </c>
    </row>
    <row r="12" spans="1:10" ht="12.75">
      <c r="A12" s="10" t="s">
        <v>243</v>
      </c>
      <c r="B12" s="121">
        <f>assurances</f>
        <v>5000</v>
      </c>
      <c r="C12" s="121">
        <f>assurances</f>
        <v>5000</v>
      </c>
      <c r="D12" s="121">
        <f>assurances</f>
        <v>5000</v>
      </c>
      <c r="E12" s="121">
        <f>assurances</f>
        <v>5000</v>
      </c>
      <c r="G12" s="406">
        <f>SUM(B12:E16)+SUM(B19:E19)+SUM(B21:E22)+SUM(B29:E32)+SUM(B35:E35)+SUM(B37:E38)+SUM(B45:E48)+SUM(B51:E51)+SUM(B53:E54)</f>
        <v>209217.20288284894</v>
      </c>
      <c r="I12" s="194" t="s">
        <v>403</v>
      </c>
      <c r="J12" s="274">
        <f>E39</f>
        <v>77150.24364441098</v>
      </c>
    </row>
    <row r="13" spans="1:10" ht="12.75">
      <c r="A13" s="10" t="s">
        <v>262</v>
      </c>
      <c r="B13" s="121">
        <f>Budget_Publicite*0.3</f>
        <v>12365.160864854683</v>
      </c>
      <c r="C13" s="121">
        <f>IF(delaipub=30,Budget_Publicite*0.7,"")</f>
      </c>
      <c r="D13" s="121">
        <f>IF(delaipub=60,Budget_Publicite*0.7,0)</f>
        <v>28852.042017994256</v>
      </c>
      <c r="E13" s="121">
        <f>IF(delaipub=90,Budget_Publicite*0.7,0)</f>
        <v>0</v>
      </c>
      <c r="I13" s="194" t="s">
        <v>225</v>
      </c>
      <c r="J13" s="274">
        <f>B55</f>
        <v>101184.68222092895</v>
      </c>
    </row>
    <row r="14" spans="1:10" ht="12.75">
      <c r="A14" s="10" t="s">
        <v>263</v>
      </c>
      <c r="B14" s="121">
        <f>edf</f>
        <v>1000</v>
      </c>
      <c r="C14" s="121">
        <f>edf</f>
        <v>1000</v>
      </c>
      <c r="D14" s="121">
        <f>edf</f>
        <v>1000</v>
      </c>
      <c r="E14" s="121">
        <f>edf</f>
        <v>1000</v>
      </c>
      <c r="G14" s="404" t="s">
        <v>241</v>
      </c>
      <c r="I14" s="194" t="s">
        <v>404</v>
      </c>
      <c r="J14" s="274">
        <f>C55</f>
        <v>148771.8081590749</v>
      </c>
    </row>
    <row r="15" spans="1:10" ht="12.75">
      <c r="A15" s="10" t="s">
        <v>242</v>
      </c>
      <c r="B15" s="121">
        <f>entretien</f>
        <v>500</v>
      </c>
      <c r="C15" s="121">
        <f>entretien</f>
        <v>500</v>
      </c>
      <c r="D15" s="121">
        <f>entretien</f>
        <v>500</v>
      </c>
      <c r="E15" s="121">
        <f>entretien</f>
        <v>500</v>
      </c>
      <c r="G15" s="405">
        <f>SUM(B17:E17)+SUM(B33:E33)+SUM(B49:E49)</f>
        <v>180000</v>
      </c>
      <c r="I15" s="194" t="s">
        <v>226</v>
      </c>
      <c r="J15" s="274">
        <f>D55</f>
        <v>186358.93409722083</v>
      </c>
    </row>
    <row r="16" spans="1:10" ht="12.75">
      <c r="A16" s="10" t="s">
        <v>238</v>
      </c>
      <c r="B16" s="121">
        <f>loyer</f>
        <v>2000</v>
      </c>
      <c r="C16" s="121">
        <f>loyer</f>
        <v>2000</v>
      </c>
      <c r="D16" s="121">
        <f>loyer</f>
        <v>2000</v>
      </c>
      <c r="E16" s="121">
        <f>loyer</f>
        <v>2000</v>
      </c>
      <c r="I16" s="194" t="s">
        <v>405</v>
      </c>
      <c r="J16" s="274">
        <f>banquefin</f>
        <v>200393.3726737388</v>
      </c>
    </row>
    <row r="17" spans="1:7" ht="12.75">
      <c r="A17" s="10" t="s">
        <v>241</v>
      </c>
      <c r="B17" s="121">
        <f>salaires</f>
        <v>15000</v>
      </c>
      <c r="C17" s="121">
        <f>salaires</f>
        <v>15000</v>
      </c>
      <c r="D17" s="121">
        <f>salaires</f>
        <v>15000</v>
      </c>
      <c r="E17" s="121">
        <f>salaires</f>
        <v>15000</v>
      </c>
      <c r="G17" s="404" t="s">
        <v>266</v>
      </c>
    </row>
    <row r="18" spans="1:7" ht="12.75">
      <c r="A18" s="10" t="s">
        <v>266</v>
      </c>
      <c r="B18" s="121"/>
      <c r="C18" s="121">
        <f>charges_sociales</f>
        <v>6750</v>
      </c>
      <c r="D18" s="121">
        <f>charges_sociales</f>
        <v>6750</v>
      </c>
      <c r="E18" s="121">
        <f>charges_sociales</f>
        <v>6750</v>
      </c>
      <c r="G18" s="405">
        <f>SUM(B18:E18)+SUM(B34:E34)+SUM(B50:E50)+B59</f>
        <v>81000</v>
      </c>
    </row>
    <row r="19" spans="1:5" ht="12.75">
      <c r="A19" s="10" t="s">
        <v>244</v>
      </c>
      <c r="B19" s="121">
        <f>telephone</f>
        <v>500</v>
      </c>
      <c r="C19" s="121">
        <f>telephone</f>
        <v>500</v>
      </c>
      <c r="D19" s="121">
        <f>telephone</f>
        <v>500</v>
      </c>
      <c r="E19" s="121">
        <f>telephone</f>
        <v>500</v>
      </c>
    </row>
    <row r="20" spans="1:7" ht="12.75">
      <c r="A20" s="10" t="s">
        <v>257</v>
      </c>
      <c r="B20" s="121">
        <f>mensualite_emprunt</f>
        <v>409.8553924238826</v>
      </c>
      <c r="C20" s="121">
        <f>mensualite_emprunt</f>
        <v>409.8553924238826</v>
      </c>
      <c r="D20" s="121">
        <f>mensualite_emprunt</f>
        <v>409.8553924238826</v>
      </c>
      <c r="E20" s="121">
        <f>mensualite_emprunt</f>
        <v>409.8553924238826</v>
      </c>
      <c r="G20" s="404" t="s">
        <v>395</v>
      </c>
    </row>
    <row r="21" spans="1:7" ht="12.75">
      <c r="A21" s="10" t="s">
        <v>249</v>
      </c>
      <c r="B21" s="121">
        <f>chargesfixesdiverses</f>
        <v>3500</v>
      </c>
      <c r="C21" s="121">
        <f>chargesfixesdiverses</f>
        <v>3500</v>
      </c>
      <c r="D21" s="121">
        <f>chargesfixesdiverses</f>
        <v>3500</v>
      </c>
      <c r="E21" s="121">
        <f>chargesfixesdiverses</f>
        <v>3500</v>
      </c>
      <c r="G21" s="405">
        <f>SUM(B12:E12)+SUM(B29:E29)+SUM(B45:E45)</f>
        <v>60000</v>
      </c>
    </row>
    <row r="22" spans="1:5" ht="12.75">
      <c r="A22" s="10" t="s">
        <v>248</v>
      </c>
      <c r="B22" s="121">
        <f>chargesvariablesdiverses</f>
        <v>1500</v>
      </c>
      <c r="C22" s="121">
        <f>chargesvariablesdiverses</f>
        <v>1500</v>
      </c>
      <c r="D22" s="121">
        <f>chargesvariablesdiverses</f>
        <v>1500</v>
      </c>
      <c r="E22" s="121">
        <f>chargesvariablesdiverses</f>
        <v>1500</v>
      </c>
    </row>
    <row r="23" spans="1:5" ht="12.75">
      <c r="A23" s="11" t="s">
        <v>267</v>
      </c>
      <c r="B23" s="122">
        <f>B8+B9-SUM(B10:B22)</f>
        <v>54866.59035003533</v>
      </c>
      <c r="C23" s="122">
        <f>C8+C9-SUM(C10:C22)</f>
        <v>55348.341564925344</v>
      </c>
      <c r="D23" s="122">
        <f>D8+D9-SUM(D10:D22)</f>
        <v>5530.73812344906</v>
      </c>
      <c r="E23" s="122">
        <f>E8+E9-SUM(E10:E22)</f>
        <v>71670.55142322296</v>
      </c>
    </row>
    <row r="24" spans="2:5" ht="12.75">
      <c r="B24" s="123"/>
      <c r="C24" s="123"/>
      <c r="D24" s="123"/>
      <c r="E24" s="124"/>
    </row>
    <row r="25" spans="1:5" ht="12.75">
      <c r="A25" s="60"/>
      <c r="B25" s="125" t="s">
        <v>221</v>
      </c>
      <c r="C25" s="125" t="s">
        <v>222</v>
      </c>
      <c r="D25" s="125" t="s">
        <v>223</v>
      </c>
      <c r="E25" s="125" t="s">
        <v>224</v>
      </c>
    </row>
    <row r="26" spans="1:5" ht="12.75">
      <c r="A26" s="9" t="s">
        <v>265</v>
      </c>
      <c r="B26" s="121">
        <f>E23</f>
        <v>71670.55142322296</v>
      </c>
      <c r="C26" s="121">
        <f>B39</f>
        <v>137810.36472299686</v>
      </c>
      <c r="D26" s="121">
        <f>C39</f>
        <v>133292.11593788688</v>
      </c>
      <c r="E26" s="121">
        <f>D39</f>
        <v>105221.17979114893</v>
      </c>
    </row>
    <row r="27" spans="1:7" ht="12.75">
      <c r="A27" s="10" t="s">
        <v>261</v>
      </c>
      <c r="B27" s="121">
        <f>IF(delai=0,ventesmai,IF(delai=1,ventesavril,IF(delai=2,ventesmars,IF(delai=3,ventesfevrier,0))))</f>
        <v>117763.43680813981</v>
      </c>
      <c r="C27" s="121">
        <f>IF(delai=0,ventesjuin,IF(delai=1,ventesmai,IF(delai=2,ventesavril,IF(delai=3,ventesmars,0))))</f>
        <v>47105.374723255925</v>
      </c>
      <c r="D27" s="121">
        <f>IF(delai=0,ventesjuillet,IF(delai=1,ventesjuin,IF(delai=2,ventesmai,IF(delai=3,ventesavril,0))))</f>
        <v>23552.687361627963</v>
      </c>
      <c r="E27" s="121">
        <f>IF(delai=0,ventesaout,IF(delai=1,ventesjuillet,IF(delai=2,ventesjuin,IF(delai=3,ventesmai,0))))</f>
        <v>23552.687361627963</v>
      </c>
      <c r="F27" s="405">
        <f>SUM(B27:E27)</f>
        <v>211974.18625465166</v>
      </c>
      <c r="G27" s="405"/>
    </row>
    <row r="28" spans="1:6" ht="12.75">
      <c r="A28" s="10" t="s">
        <v>264</v>
      </c>
      <c r="B28" s="121">
        <f>IF(delaiachats=3,achatsfevrier+(stockfinal/12)+(achatenplus/12),IF(delaiachats=2,achatsmars+(stockfinal/12)+(achatenplus/12),IF(delaiachats=1,achatsavril+(stockfinal/12)+(achatenplus/12),IF(delaiachats=0,achatsmai+(stockfinal/12)+(achatenplus/12),0))))</f>
        <v>15463.768115942028</v>
      </c>
      <c r="C28" s="121">
        <f>IF(delaiachats=3,achatsmars+(stockfinal/12)+(achatenplus/12),IF(delaiachats=2,achatsavril+(stockfinal/12)+(achatenplus/12),IF(delaiachats=1,achatsmai+(stockfinal/12)+(achatenplus/12),IF(delaiachats=0,achatsjuin+(stockfinal/12)+(achatenplus/12),0))))</f>
        <v>15463.768115942028</v>
      </c>
      <c r="D28" s="121">
        <f>IF(delaiachats=3,achatsavril+(stockfinal/12)+(achatenplus/12),IF(delaiachats=2,achatsmai+(stockfinal/12)+(achatenplus/12),IF(delaiachats=1,achatsjuin+(stockfinal/12)+(achatenplus/12),IF(delaiachats=0,achatsjuillet+(stockfinal/12)+(achatenplus/12),0))))</f>
        <v>15463.768115942028</v>
      </c>
      <c r="E28" s="121">
        <f>IF(delaiachats=3,achatsmai+(stockfinal/12)+(achatenplus/12),IF(delaiachats=2,achatsjuin+(stockfinal/12)+(achatenplus/12),IF(delaiachats=1,achatsjuillet+(stockfinal/12)+(achatenplus/12),IF(delaiachats=0,achatsaout+(stockfinal/12)+(achatenplus/12),0))))</f>
        <v>15463.768115942028</v>
      </c>
      <c r="F28" s="405">
        <f>SUM(B28:E28)</f>
        <v>61855.07246376811</v>
      </c>
    </row>
    <row r="29" spans="1:5" ht="12.75">
      <c r="A29" s="10" t="s">
        <v>243</v>
      </c>
      <c r="B29" s="121">
        <f>assurances</f>
        <v>5000</v>
      </c>
      <c r="C29" s="121">
        <f>assurances</f>
        <v>5000</v>
      </c>
      <c r="D29" s="121">
        <f>assurances</f>
        <v>5000</v>
      </c>
      <c r="E29" s="121">
        <f>assurances</f>
        <v>5000</v>
      </c>
    </row>
    <row r="30" spans="1:5" ht="12.75">
      <c r="A30" s="10" t="s">
        <v>263</v>
      </c>
      <c r="B30" s="121">
        <f>edf</f>
        <v>1000</v>
      </c>
      <c r="C30" s="121">
        <f>edf</f>
        <v>1000</v>
      </c>
      <c r="D30" s="121">
        <f>edf</f>
        <v>1000</v>
      </c>
      <c r="E30" s="121">
        <f>edf</f>
        <v>1000</v>
      </c>
    </row>
    <row r="31" spans="1:5" ht="12.75">
      <c r="A31" s="10" t="s">
        <v>242</v>
      </c>
      <c r="B31" s="121">
        <f>entretien</f>
        <v>500</v>
      </c>
      <c r="C31" s="121">
        <f>entretien</f>
        <v>500</v>
      </c>
      <c r="D31" s="121">
        <f>entretien</f>
        <v>500</v>
      </c>
      <c r="E31" s="121">
        <f>entretien</f>
        <v>500</v>
      </c>
    </row>
    <row r="32" spans="1:5" ht="12.75">
      <c r="A32" s="10" t="s">
        <v>238</v>
      </c>
      <c r="B32" s="121">
        <f>loyer</f>
        <v>2000</v>
      </c>
      <c r="C32" s="121">
        <f>loyer</f>
        <v>2000</v>
      </c>
      <c r="D32" s="121">
        <f>loyer</f>
        <v>2000</v>
      </c>
      <c r="E32" s="121">
        <f>loyer</f>
        <v>2000</v>
      </c>
    </row>
    <row r="33" spans="1:5" ht="12.75">
      <c r="A33" s="10" t="s">
        <v>241</v>
      </c>
      <c r="B33" s="121">
        <f>salaires</f>
        <v>15000</v>
      </c>
      <c r="C33" s="121">
        <f>salaires</f>
        <v>15000</v>
      </c>
      <c r="D33" s="121">
        <f>salaires</f>
        <v>15000</v>
      </c>
      <c r="E33" s="121">
        <f>salaires</f>
        <v>15000</v>
      </c>
    </row>
    <row r="34" spans="1:5" ht="12.75">
      <c r="A34" s="10" t="s">
        <v>266</v>
      </c>
      <c r="B34" s="121">
        <f>charges_sociales</f>
        <v>6750</v>
      </c>
      <c r="C34" s="121">
        <f>charges_sociales</f>
        <v>6750</v>
      </c>
      <c r="D34" s="121">
        <f>charges_sociales</f>
        <v>6750</v>
      </c>
      <c r="E34" s="121">
        <f>charges_sociales</f>
        <v>6750</v>
      </c>
    </row>
    <row r="35" spans="1:5" ht="12.75">
      <c r="A35" s="10" t="s">
        <v>244</v>
      </c>
      <c r="B35" s="121">
        <f>telephone</f>
        <v>500</v>
      </c>
      <c r="C35" s="121">
        <f>telephone</f>
        <v>500</v>
      </c>
      <c r="D35" s="121">
        <f>telephone</f>
        <v>500</v>
      </c>
      <c r="E35" s="121">
        <f>telephone</f>
        <v>500</v>
      </c>
    </row>
    <row r="36" spans="1:5" ht="12.75">
      <c r="A36" s="10" t="s">
        <v>257</v>
      </c>
      <c r="B36" s="121">
        <f>mensualite_emprunt</f>
        <v>409.8553924238826</v>
      </c>
      <c r="C36" s="121">
        <f>mensualite_emprunt</f>
        <v>409.8553924238826</v>
      </c>
      <c r="D36" s="121">
        <f>mensualite_emprunt</f>
        <v>409.8553924238826</v>
      </c>
      <c r="E36" s="121">
        <f>mensualite_emprunt</f>
        <v>409.8553924238826</v>
      </c>
    </row>
    <row r="37" spans="1:5" ht="12.75">
      <c r="A37" s="10" t="s">
        <v>249</v>
      </c>
      <c r="B37" s="121">
        <f>chargesfixesdiverses</f>
        <v>3500</v>
      </c>
      <c r="C37" s="121">
        <f>chargesfixesdiverses</f>
        <v>3500</v>
      </c>
      <c r="D37" s="121">
        <f>chargesfixesdiverses</f>
        <v>3500</v>
      </c>
      <c r="E37" s="121">
        <f>chargesfixesdiverses</f>
        <v>3500</v>
      </c>
    </row>
    <row r="38" spans="1:5" ht="12.75">
      <c r="A38" s="10" t="s">
        <v>248</v>
      </c>
      <c r="B38" s="121">
        <f>chargesvariablesdiverses</f>
        <v>1500</v>
      </c>
      <c r="C38" s="121">
        <f>chargesvariablesdiverses</f>
        <v>1500</v>
      </c>
      <c r="D38" s="121">
        <f>chargesvariablesdiverses</f>
        <v>1500</v>
      </c>
      <c r="E38" s="121">
        <f>chargesvariablesdiverses</f>
        <v>1500</v>
      </c>
    </row>
    <row r="39" spans="1:5" ht="12.75">
      <c r="A39" s="11" t="s">
        <v>267</v>
      </c>
      <c r="B39" s="122">
        <f>B26+B27-SUM(B28:B38)</f>
        <v>137810.36472299686</v>
      </c>
      <c r="C39" s="122">
        <f>C26+C27-SUM(C28:C38)</f>
        <v>133292.11593788688</v>
      </c>
      <c r="D39" s="122">
        <f>D26+D27-SUM(D28:D38)</f>
        <v>105221.17979114893</v>
      </c>
      <c r="E39" s="122">
        <f>E26+E27-SUM(E28:E38)</f>
        <v>77150.24364441098</v>
      </c>
    </row>
    <row r="40" spans="2:5" ht="12.75">
      <c r="B40" s="123"/>
      <c r="C40" s="123"/>
      <c r="D40" s="123"/>
      <c r="E40" s="124"/>
    </row>
    <row r="41" spans="1:5" ht="12.75">
      <c r="A41" s="60"/>
      <c r="B41" s="125" t="s">
        <v>225</v>
      </c>
      <c r="C41" s="125" t="s">
        <v>253</v>
      </c>
      <c r="D41" s="125" t="s">
        <v>226</v>
      </c>
      <c r="E41" s="125" t="s">
        <v>227</v>
      </c>
    </row>
    <row r="42" spans="1:5" ht="12.75">
      <c r="A42" s="9" t="s">
        <v>265</v>
      </c>
      <c r="B42" s="121">
        <f>E39</f>
        <v>77150.24364441098</v>
      </c>
      <c r="C42" s="121">
        <f>B55</f>
        <v>101184.68222092895</v>
      </c>
      <c r="D42" s="121">
        <f>C55</f>
        <v>148771.8081590749</v>
      </c>
      <c r="E42" s="121">
        <f>D55</f>
        <v>186358.93409722083</v>
      </c>
    </row>
    <row r="43" spans="1:6" ht="12.75">
      <c r="A43" s="10" t="s">
        <v>261</v>
      </c>
      <c r="B43" s="121">
        <f>IF(delai=0,ventesseptembre,IF(delai=1,ventesaout,IF(delai=2,ventesjuillet,IF(delai=3,ventesjuin,0))))</f>
        <v>70658.06208488389</v>
      </c>
      <c r="C43" s="121">
        <f>IF(delai=0,ventesoctobre,IF(delai=1,ventesseptembre,IF(delai=2,ventesaout,IF(delai=3,ventesjuillet,0))))</f>
        <v>94210.74944651185</v>
      </c>
      <c r="D43" s="121">
        <f>IF(delai=0,ventesnovembre,IF(delai=1,ventesoctobre,IF(delai=2,ventesseptembre,IF(delai=3,ventesaout,0))))</f>
        <v>94210.74944651185</v>
      </c>
      <c r="E43" s="121">
        <f>IF(delai=0,ventesdecembre,IF(delai=1,ventesnovembre,IF(delai=2,ventesoctobre,IF(delai=3,ventesseptembre,0))))</f>
        <v>70658.06208488389</v>
      </c>
      <c r="F43" s="405">
        <f>SUM(B43:E43)</f>
        <v>329737.6230627915</v>
      </c>
    </row>
    <row r="44" spans="1:6" ht="12.75">
      <c r="A44" s="10" t="s">
        <v>264</v>
      </c>
      <c r="B44" s="121">
        <f>IF(delaiachats=3,achatsjuin+(stockfinal/12)+(achatenplus/12),IF(delaiachats=2,achatsjuillet+(stockfinal/12)+(achatenplus/12),IF(delaiachats=1,achatsaout+(stockfinal/12)+(achatenplus/12),IF(delaiachats=0,achatsseptembre+(stockfinal/12)+(achatenplus/12),0))))</f>
        <v>10463.768115942028</v>
      </c>
      <c r="C44" s="121">
        <f>IF(delaiachats=3,achatsjuillet+(stockfinal/12)+(achatenplus/12),IF(delaiachats=2,achatsaout+(stockfinal/12)+(achatenplus/12),IF(delaiachats=1,achatsseptembre+(stockfinal/12)+(achatenplus/12),IF(delaiachats=0,achatsoctobre+(stockfinal/12)+(achatenplus/12),0))))</f>
        <v>10463.768115942028</v>
      </c>
      <c r="D44" s="121">
        <f>IF(delaiachats=3,achatsaout+(stockfinal/12)+(achatenplus/12),IF(delaiachats=2,achatsseptembre+(stockfinal/12)+(achatenplus/12),IF(delaiachats=1,achatsoctobre+(stockfinal/12)+(achatenplus/12),IF(delaiachats=0,achatsnovembre+(stockfinal/12)+(achatenplus/12),0))))</f>
        <v>20463.768115942028</v>
      </c>
      <c r="E44" s="121">
        <f>IF(delaiachats=3,achatsseptembre+(stockfinal/12)+(achatenplus/12),IF(delaiachats=2,achatsoctobre+(stockfinal/12)+(achatenplus/12),IF(delaiachats=1,achatsnovembre+(stockfinal/12)+(achatenplus/12),IF(delaiachats=0,achatsdecembre+(stockfinal/12)+(achatenplus/12),0))))</f>
        <v>20463.768115942028</v>
      </c>
      <c r="F44" s="405">
        <f>SUM(B44:E44)</f>
        <v>61855.07246376811</v>
      </c>
    </row>
    <row r="45" spans="1:5" ht="12.75">
      <c r="A45" s="10" t="s">
        <v>243</v>
      </c>
      <c r="B45" s="121">
        <f>assurances</f>
        <v>5000</v>
      </c>
      <c r="C45" s="121">
        <f>assurances</f>
        <v>5000</v>
      </c>
      <c r="D45" s="121">
        <f>assurances</f>
        <v>5000</v>
      </c>
      <c r="E45" s="121">
        <f>assurances</f>
        <v>5000</v>
      </c>
    </row>
    <row r="46" spans="1:5" ht="12.75">
      <c r="A46" s="10" t="s">
        <v>263</v>
      </c>
      <c r="B46" s="121">
        <f>edf</f>
        <v>1000</v>
      </c>
      <c r="C46" s="121">
        <f>edf</f>
        <v>1000</v>
      </c>
      <c r="D46" s="121">
        <f>edf</f>
        <v>1000</v>
      </c>
      <c r="E46" s="121">
        <f>edf</f>
        <v>1000</v>
      </c>
    </row>
    <row r="47" spans="1:5" ht="12.75">
      <c r="A47" s="10" t="s">
        <v>242</v>
      </c>
      <c r="B47" s="121">
        <f>entretien</f>
        <v>500</v>
      </c>
      <c r="C47" s="121">
        <f>entretien</f>
        <v>500</v>
      </c>
      <c r="D47" s="121">
        <f>entretien</f>
        <v>500</v>
      </c>
      <c r="E47" s="121">
        <f>entretien</f>
        <v>500</v>
      </c>
    </row>
    <row r="48" spans="1:5" ht="12.75">
      <c r="A48" s="10" t="s">
        <v>238</v>
      </c>
      <c r="B48" s="121">
        <f>loyer</f>
        <v>2000</v>
      </c>
      <c r="C48" s="121">
        <f>loyer</f>
        <v>2000</v>
      </c>
      <c r="D48" s="121">
        <f>loyer</f>
        <v>2000</v>
      </c>
      <c r="E48" s="121">
        <f>loyer</f>
        <v>2000</v>
      </c>
    </row>
    <row r="49" spans="1:5" ht="12.75">
      <c r="A49" s="10" t="s">
        <v>241</v>
      </c>
      <c r="B49" s="121">
        <f>salaires</f>
        <v>15000</v>
      </c>
      <c r="C49" s="121">
        <f>salaires</f>
        <v>15000</v>
      </c>
      <c r="D49" s="121">
        <f>salaires</f>
        <v>15000</v>
      </c>
      <c r="E49" s="121">
        <f>salaires</f>
        <v>15000</v>
      </c>
    </row>
    <row r="50" spans="1:5" ht="12.75">
      <c r="A50" s="10" t="s">
        <v>266</v>
      </c>
      <c r="B50" s="121">
        <f>charges_sociales</f>
        <v>6750</v>
      </c>
      <c r="C50" s="121">
        <f>charges_sociales</f>
        <v>6750</v>
      </c>
      <c r="D50" s="121">
        <f>charges_sociales</f>
        <v>6750</v>
      </c>
      <c r="E50" s="121">
        <f>charges_sociales</f>
        <v>6750</v>
      </c>
    </row>
    <row r="51" spans="1:5" ht="12.75">
      <c r="A51" s="10" t="s">
        <v>244</v>
      </c>
      <c r="B51" s="121">
        <f>telephone</f>
        <v>500</v>
      </c>
      <c r="C51" s="121">
        <f>telephone</f>
        <v>500</v>
      </c>
      <c r="D51" s="121">
        <f>telephone</f>
        <v>500</v>
      </c>
      <c r="E51" s="121">
        <f>telephone</f>
        <v>500</v>
      </c>
    </row>
    <row r="52" spans="1:5" ht="12.75">
      <c r="A52" s="10" t="s">
        <v>257</v>
      </c>
      <c r="B52" s="121">
        <f>mensualite_emprunt</f>
        <v>409.8553924238826</v>
      </c>
      <c r="C52" s="121">
        <f>mensualite_emprunt</f>
        <v>409.8553924238826</v>
      </c>
      <c r="D52" s="121">
        <f>mensualite_emprunt</f>
        <v>409.8553924238826</v>
      </c>
      <c r="E52" s="121">
        <f>mensualite_emprunt</f>
        <v>409.8553924238826</v>
      </c>
    </row>
    <row r="53" spans="1:5" ht="12.75">
      <c r="A53" s="10" t="s">
        <v>249</v>
      </c>
      <c r="B53" s="121">
        <f>chargesfixesdiverses</f>
        <v>3500</v>
      </c>
      <c r="C53" s="121">
        <f>chargesfixesdiverses</f>
        <v>3500</v>
      </c>
      <c r="D53" s="121">
        <f>chargesfixesdiverses</f>
        <v>3500</v>
      </c>
      <c r="E53" s="121">
        <f>chargesfixesdiverses</f>
        <v>3500</v>
      </c>
    </row>
    <row r="54" spans="1:6" ht="12.75">
      <c r="A54" s="10" t="s">
        <v>248</v>
      </c>
      <c r="B54" s="121">
        <f>chargesvariablesdiverses</f>
        <v>1500</v>
      </c>
      <c r="C54" s="121">
        <f>chargesvariablesdiverses</f>
        <v>1500</v>
      </c>
      <c r="D54" s="121">
        <f>chargesvariablesdiverses</f>
        <v>1500</v>
      </c>
      <c r="E54" s="121">
        <f>chargesvariablesdiverses</f>
        <v>1500</v>
      </c>
      <c r="F54" s="406">
        <f>F9+F27+F43</f>
        <v>824344.0576569787</v>
      </c>
    </row>
    <row r="55" spans="1:6" ht="12.75">
      <c r="A55" s="11" t="s">
        <v>267</v>
      </c>
      <c r="B55" s="122">
        <f>B42+B43-SUM(B44:B54)</f>
        <v>101184.68222092895</v>
      </c>
      <c r="C55" s="122">
        <f>C42+C43-SUM(C44:C54)</f>
        <v>148771.8081590749</v>
      </c>
      <c r="D55" s="122">
        <f>D42+D43-SUM(D44:D54)</f>
        <v>186358.93409722083</v>
      </c>
      <c r="E55" s="122">
        <f>E42+E43-SUM(E44:E54)</f>
        <v>200393.3726737388</v>
      </c>
      <c r="F55" s="406">
        <f>F10+F28+F44</f>
        <v>165565.21739130432</v>
      </c>
    </row>
    <row r="56" spans="2:5" ht="12.75">
      <c r="B56" s="123"/>
      <c r="C56" s="123"/>
      <c r="D56" s="123"/>
      <c r="E56" s="124"/>
    </row>
    <row r="57" spans="1:5" ht="12.75">
      <c r="A57" s="62" t="s">
        <v>235</v>
      </c>
      <c r="B57" s="126">
        <f>cumulfinal-F54</f>
        <v>0</v>
      </c>
      <c r="C57" s="123"/>
      <c r="D57" s="123"/>
      <c r="E57" s="124"/>
    </row>
    <row r="58" spans="1:5" ht="12.75">
      <c r="A58" s="62" t="s">
        <v>236</v>
      </c>
      <c r="B58" s="126">
        <f>totaldesachatsmp-totalachatsregles</f>
        <v>0</v>
      </c>
      <c r="C58" s="123"/>
      <c r="D58" s="123"/>
      <c r="E58" s="124"/>
    </row>
    <row r="59" spans="1:2" ht="12.75">
      <c r="A59" s="62" t="s">
        <v>393</v>
      </c>
      <c r="B59" s="184">
        <f>charges_sociales</f>
        <v>6750</v>
      </c>
    </row>
    <row r="60" ht="12.75">
      <c r="A60" s="15"/>
    </row>
  </sheetData>
  <sheetProtection/>
  <conditionalFormatting sqref="B55:E55 B39:E39 B23:E23 B8:E8 B26:E26 B42:E42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" footer="0.5118110236220472"/>
  <pageSetup horizontalDpi="300" verticalDpi="300" orientation="portrait" paperSize="9" r:id="rId2"/>
  <headerFooter alignWithMargins="0">
    <oddFooter>&amp;CBudget de trésorrie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4"/>
  </sheetPr>
  <dimension ref="M1:P117"/>
  <sheetViews>
    <sheetView showGridLines="0" zoomScale="75" zoomScaleNormal="75" workbookViewId="0" topLeftCell="A1">
      <selection activeCell="G7" sqref="G7"/>
    </sheetView>
  </sheetViews>
  <sheetFormatPr defaultColWidth="11.421875" defaultRowHeight="12.75"/>
  <cols>
    <col min="14" max="14" width="11.421875" style="1" customWidth="1"/>
    <col min="15" max="15" width="15.8515625" style="1" customWidth="1"/>
    <col min="16" max="16" width="11.421875" style="1" customWidth="1"/>
  </cols>
  <sheetData>
    <row r="1" spans="13:16" ht="12.75">
      <c r="M1" s="189"/>
      <c r="N1" s="190"/>
      <c r="O1" s="190"/>
      <c r="P1" s="190"/>
    </row>
    <row r="2" spans="13:16" ht="12.75">
      <c r="M2" s="189"/>
      <c r="N2" s="190"/>
      <c r="O2" s="190"/>
      <c r="P2" s="190"/>
    </row>
    <row r="3" spans="13:16" ht="12.75">
      <c r="M3" s="189"/>
      <c r="N3" s="632" t="s">
        <v>261</v>
      </c>
      <c r="O3" s="632"/>
      <c r="P3" s="190"/>
    </row>
    <row r="4" spans="13:16" ht="12.75">
      <c r="M4" s="189"/>
      <c r="N4" s="190" t="s">
        <v>411</v>
      </c>
      <c r="O4" s="190">
        <f>'Achats et Ventes'!D29</f>
        <v>47105.374723255925</v>
      </c>
      <c r="P4" s="190"/>
    </row>
    <row r="5" spans="13:16" ht="12.75">
      <c r="M5" s="189"/>
      <c r="N5" s="190" t="s">
        <v>412</v>
      </c>
      <c r="O5" s="190">
        <f>'Achats et Ventes'!D30</f>
        <v>47105.374723255925</v>
      </c>
      <c r="P5" s="190"/>
    </row>
    <row r="6" spans="13:16" ht="12.75">
      <c r="M6" s="189"/>
      <c r="N6" s="190" t="s">
        <v>413</v>
      </c>
      <c r="O6" s="190">
        <f>'Achats et Ventes'!D31</f>
        <v>70658.06208488389</v>
      </c>
      <c r="P6" s="190"/>
    </row>
    <row r="7" spans="13:16" ht="12.75">
      <c r="M7" s="189"/>
      <c r="N7" s="190" t="s">
        <v>414</v>
      </c>
      <c r="O7" s="190">
        <f>'Achats et Ventes'!D32</f>
        <v>117763.43680813981</v>
      </c>
      <c r="P7" s="190"/>
    </row>
    <row r="8" spans="13:16" ht="12.75">
      <c r="M8" s="189"/>
      <c r="N8" s="190" t="s">
        <v>413</v>
      </c>
      <c r="O8" s="190">
        <f>'Achats et Ventes'!D33</f>
        <v>117763.43680813981</v>
      </c>
      <c r="P8" s="190"/>
    </row>
    <row r="9" spans="13:16" ht="12.75">
      <c r="M9" s="189"/>
      <c r="N9" s="190" t="s">
        <v>411</v>
      </c>
      <c r="O9" s="190">
        <f>'Achats et Ventes'!D34</f>
        <v>47105.374723255925</v>
      </c>
      <c r="P9" s="190"/>
    </row>
    <row r="10" spans="13:16" ht="12.75">
      <c r="M10" s="189"/>
      <c r="N10" s="190" t="s">
        <v>411</v>
      </c>
      <c r="O10" s="190">
        <f>'Achats et Ventes'!D35</f>
        <v>23552.687361627963</v>
      </c>
      <c r="P10" s="190"/>
    </row>
    <row r="11" spans="13:16" ht="12.75">
      <c r="M11" s="189"/>
      <c r="N11" s="190" t="s">
        <v>414</v>
      </c>
      <c r="O11" s="190">
        <f>'Achats et Ventes'!D36</f>
        <v>23552.687361627963</v>
      </c>
      <c r="P11" s="190"/>
    </row>
    <row r="12" spans="13:16" ht="12.75">
      <c r="M12" s="189"/>
      <c r="N12" s="190" t="s">
        <v>415</v>
      </c>
      <c r="O12" s="190">
        <f>'Achats et Ventes'!D37</f>
        <v>70658.06208488389</v>
      </c>
      <c r="P12" s="190"/>
    </row>
    <row r="13" spans="13:16" ht="12.75">
      <c r="M13" s="189"/>
      <c r="N13" s="190" t="s">
        <v>406</v>
      </c>
      <c r="O13" s="190">
        <f>'Achats et Ventes'!D38</f>
        <v>94210.74944651185</v>
      </c>
      <c r="P13" s="190"/>
    </row>
    <row r="14" spans="13:16" ht="12.75">
      <c r="M14" s="189"/>
      <c r="N14" s="190" t="s">
        <v>416</v>
      </c>
      <c r="O14" s="190">
        <f>'Achats et Ventes'!D39</f>
        <v>94210.74944651185</v>
      </c>
      <c r="P14" s="190"/>
    </row>
    <row r="15" spans="13:16" ht="12.75">
      <c r="M15" s="189"/>
      <c r="N15" s="190" t="s">
        <v>417</v>
      </c>
      <c r="O15" s="190">
        <f>'Achats et Ventes'!D40</f>
        <v>70658.06208488389</v>
      </c>
      <c r="P15" s="190"/>
    </row>
    <row r="16" spans="13:16" ht="12.75">
      <c r="M16" s="189"/>
      <c r="N16" s="190"/>
      <c r="O16" s="190"/>
      <c r="P16" s="190"/>
    </row>
    <row r="17" spans="13:16" ht="12.75">
      <c r="M17" s="189"/>
      <c r="N17" s="632" t="s">
        <v>410</v>
      </c>
      <c r="O17" s="632"/>
      <c r="P17" s="190"/>
    </row>
    <row r="18" spans="13:16" ht="12.75">
      <c r="M18" s="189"/>
      <c r="N18" s="190" t="str">
        <f>Stocks!C12</f>
        <v>Janvier</v>
      </c>
      <c r="O18" s="190">
        <f>Stocks!D12</f>
        <v>5000</v>
      </c>
      <c r="P18" s="190"/>
    </row>
    <row r="19" spans="13:16" ht="12.75">
      <c r="M19" s="189"/>
      <c r="N19" s="190" t="str">
        <f>Stocks!C13</f>
        <v>Février</v>
      </c>
      <c r="O19" s="190">
        <f>Stocks!D13</f>
        <v>10000</v>
      </c>
      <c r="P19" s="190"/>
    </row>
    <row r="20" spans="13:16" ht="12.75">
      <c r="M20" s="189"/>
      <c r="N20" s="190" t="str">
        <f>Stocks!C14</f>
        <v>Mars</v>
      </c>
      <c r="O20" s="190">
        <f>Stocks!D14</f>
        <v>10000</v>
      </c>
      <c r="P20" s="190"/>
    </row>
    <row r="21" spans="13:16" ht="12.75">
      <c r="M21" s="189"/>
      <c r="N21" s="190" t="str">
        <f>Stocks!C15</f>
        <v>Avril</v>
      </c>
      <c r="O21" s="190">
        <f>Stocks!D15</f>
        <v>15000</v>
      </c>
      <c r="P21" s="190"/>
    </row>
    <row r="22" spans="13:16" ht="12.75">
      <c r="M22" s="189"/>
      <c r="N22" s="190" t="str">
        <f>Stocks!C16</f>
        <v>Mai</v>
      </c>
      <c r="O22" s="190">
        <f>Stocks!D16</f>
        <v>15000</v>
      </c>
      <c r="P22" s="190"/>
    </row>
    <row r="23" spans="13:16" ht="12.75">
      <c r="M23" s="189"/>
      <c r="N23" s="190" t="str">
        <f>Stocks!C17</f>
        <v>Juin</v>
      </c>
      <c r="O23" s="190">
        <f>Stocks!D17</f>
        <v>15000</v>
      </c>
      <c r="P23" s="190"/>
    </row>
    <row r="24" spans="13:16" ht="12.75">
      <c r="M24" s="189"/>
      <c r="N24" s="190" t="str">
        <f>Stocks!E12</f>
        <v>Juillet</v>
      </c>
      <c r="O24" s="190">
        <f>Stocks!F12</f>
        <v>15000</v>
      </c>
      <c r="P24" s="190"/>
    </row>
    <row r="25" spans="13:16" ht="12.75">
      <c r="M25" s="189"/>
      <c r="N25" s="190" t="str">
        <f>Stocks!E13</f>
        <v>Août</v>
      </c>
      <c r="O25" s="190">
        <f>Stocks!F13</f>
        <v>15000</v>
      </c>
      <c r="P25" s="190"/>
    </row>
    <row r="26" spans="13:16" ht="12.75">
      <c r="M26" s="189"/>
      <c r="N26" s="190" t="str">
        <f>Stocks!E14</f>
        <v>Septembre</v>
      </c>
      <c r="O26" s="190">
        <f>Stocks!F14</f>
        <v>10000</v>
      </c>
      <c r="P26" s="190"/>
    </row>
    <row r="27" spans="13:16" ht="12.75">
      <c r="M27" s="189"/>
      <c r="N27" s="190" t="str">
        <f>Stocks!E15</f>
        <v>Octobre</v>
      </c>
      <c r="O27" s="190">
        <f>Stocks!F15</f>
        <v>10000</v>
      </c>
      <c r="P27" s="190"/>
    </row>
    <row r="28" spans="13:16" ht="12.75">
      <c r="M28" s="189"/>
      <c r="N28" s="190" t="str">
        <f>Stocks!E16</f>
        <v>Novembre</v>
      </c>
      <c r="O28" s="190">
        <f>Stocks!F16</f>
        <v>20000</v>
      </c>
      <c r="P28" s="190"/>
    </row>
    <row r="29" spans="13:16" ht="12.75">
      <c r="M29" s="189"/>
      <c r="N29" s="190" t="str">
        <f>Stocks!E17</f>
        <v>Décembre</v>
      </c>
      <c r="O29" s="190">
        <f>Stocks!F17</f>
        <v>20000</v>
      </c>
      <c r="P29" s="190"/>
    </row>
    <row r="30" spans="13:16" ht="12.75">
      <c r="M30" s="189"/>
      <c r="N30" s="190"/>
      <c r="O30" s="190"/>
      <c r="P30" s="190"/>
    </row>
    <row r="31" spans="13:16" ht="12.75">
      <c r="M31" s="189"/>
      <c r="N31" s="632" t="s">
        <v>228</v>
      </c>
      <c r="O31" s="632"/>
      <c r="P31" s="190"/>
    </row>
    <row r="32" spans="13:16" ht="12.75">
      <c r="M32" s="189"/>
      <c r="N32" s="190" t="str">
        <f>'Budget de trésorerie'!I5</f>
        <v>Janvier</v>
      </c>
      <c r="O32" s="193">
        <f>'Budget de trésorerie'!J5</f>
        <v>54866.59035003533</v>
      </c>
      <c r="P32" s="190"/>
    </row>
    <row r="33" spans="13:16" ht="12.75">
      <c r="M33" s="189"/>
      <c r="N33" s="190" t="str">
        <f>'Budget de trésorerie'!I6</f>
        <v>Fevrier</v>
      </c>
      <c r="O33" s="193">
        <f>'Budget de trésorerie'!J6</f>
        <v>55348.341564925344</v>
      </c>
      <c r="P33" s="190"/>
    </row>
    <row r="34" spans="13:16" ht="12.75">
      <c r="M34" s="189"/>
      <c r="N34" s="190" t="str">
        <f>'Budget de trésorerie'!I7</f>
        <v>Mars</v>
      </c>
      <c r="O34" s="193">
        <f>'Budget de trésorerie'!J7</f>
        <v>5530.73812344906</v>
      </c>
      <c r="P34" s="190"/>
    </row>
    <row r="35" spans="13:16" ht="12.75">
      <c r="M35" s="189"/>
      <c r="N35" s="190" t="str">
        <f>'Budget de trésorerie'!I8</f>
        <v>Avril</v>
      </c>
      <c r="O35" s="193">
        <f>'Budget de trésorerie'!J8</f>
        <v>71670.55142322296</v>
      </c>
      <c r="P35" s="190"/>
    </row>
    <row r="36" spans="13:16" ht="12.75">
      <c r="M36" s="189"/>
      <c r="N36" s="190" t="str">
        <f>'Budget de trésorerie'!I9</f>
        <v>Mai</v>
      </c>
      <c r="O36" s="193">
        <f>'Budget de trésorerie'!J9</f>
        <v>137810.36472299686</v>
      </c>
      <c r="P36" s="190"/>
    </row>
    <row r="37" spans="13:16" ht="12.75">
      <c r="M37" s="189"/>
      <c r="N37" s="190" t="str">
        <f>'Budget de trésorerie'!I10</f>
        <v>Juin</v>
      </c>
      <c r="O37" s="193">
        <f>'Budget de trésorerie'!J10</f>
        <v>133292.11593788688</v>
      </c>
      <c r="P37" s="190"/>
    </row>
    <row r="38" spans="13:16" ht="12.75">
      <c r="M38" s="189"/>
      <c r="N38" s="190" t="str">
        <f>'Budget de trésorerie'!I11</f>
        <v>Juillet</v>
      </c>
      <c r="O38" s="193">
        <f>'Budget de trésorerie'!J11</f>
        <v>105221.17979114893</v>
      </c>
      <c r="P38" s="190"/>
    </row>
    <row r="39" spans="13:16" ht="12.75">
      <c r="M39" s="189"/>
      <c r="N39" s="190" t="str">
        <f>'Budget de trésorerie'!I12</f>
        <v>Aout</v>
      </c>
      <c r="O39" s="193">
        <f>'Budget de trésorerie'!J12</f>
        <v>77150.24364441098</v>
      </c>
      <c r="P39" s="190"/>
    </row>
    <row r="40" spans="13:16" ht="12.75">
      <c r="M40" s="189"/>
      <c r="N40" s="190" t="str">
        <f>'Budget de trésorerie'!I13</f>
        <v>Septembre</v>
      </c>
      <c r="O40" s="193">
        <f>'Budget de trésorerie'!J13</f>
        <v>101184.68222092895</v>
      </c>
      <c r="P40" s="190"/>
    </row>
    <row r="41" spans="13:16" ht="12.75">
      <c r="M41" s="189"/>
      <c r="N41" s="190" t="str">
        <f>'Budget de trésorerie'!I14</f>
        <v>Octobe</v>
      </c>
      <c r="O41" s="193">
        <f>'Budget de trésorerie'!J14</f>
        <v>148771.8081590749</v>
      </c>
      <c r="P41" s="190"/>
    </row>
    <row r="42" spans="13:16" ht="12.75">
      <c r="M42" s="189"/>
      <c r="N42" s="190" t="str">
        <f>'Budget de trésorerie'!I15</f>
        <v>Novembre</v>
      </c>
      <c r="O42" s="193">
        <f>'Budget de trésorerie'!J15</f>
        <v>186358.93409722083</v>
      </c>
      <c r="P42" s="190"/>
    </row>
    <row r="43" spans="13:16" ht="12.75">
      <c r="M43" s="189"/>
      <c r="N43" s="190" t="str">
        <f>'Budget de trésorerie'!I16</f>
        <v>Decembre</v>
      </c>
      <c r="O43" s="193">
        <f>'Budget de trésorerie'!J16</f>
        <v>200393.3726737388</v>
      </c>
      <c r="P43" s="190"/>
    </row>
    <row r="44" spans="13:16" ht="12.75">
      <c r="M44" s="189"/>
      <c r="N44" s="190"/>
      <c r="O44" s="190"/>
      <c r="P44" s="190"/>
    </row>
    <row r="45" spans="13:16" ht="12.75">
      <c r="M45" s="189"/>
      <c r="N45" s="190"/>
      <c r="O45" s="190"/>
      <c r="P45" s="190"/>
    </row>
    <row r="46" spans="13:16" ht="12.75">
      <c r="M46" s="189"/>
      <c r="N46" s="190"/>
      <c r="O46" s="190"/>
      <c r="P46" s="190"/>
    </row>
    <row r="47" spans="13:16" ht="12.75">
      <c r="M47" s="189"/>
      <c r="N47" s="190"/>
      <c r="O47" s="190"/>
      <c r="P47" s="190"/>
    </row>
    <row r="48" spans="13:16" ht="12.75">
      <c r="M48" s="189"/>
      <c r="N48" s="190"/>
      <c r="O48" s="190"/>
      <c r="P48" s="190"/>
    </row>
    <row r="49" spans="13:16" ht="12.75">
      <c r="M49" s="189"/>
      <c r="N49" s="190"/>
      <c r="O49" s="190"/>
      <c r="P49" s="190"/>
    </row>
    <row r="50" spans="13:16" ht="12.75">
      <c r="M50" s="189"/>
      <c r="N50" s="190"/>
      <c r="O50" s="190"/>
      <c r="P50" s="190"/>
    </row>
    <row r="51" spans="13:16" ht="12.75">
      <c r="M51" s="189"/>
      <c r="N51" s="190"/>
      <c r="O51" s="190"/>
      <c r="P51" s="190"/>
    </row>
    <row r="52" spans="13:16" ht="12.75">
      <c r="M52" s="189"/>
      <c r="N52" s="190"/>
      <c r="O52" s="190"/>
      <c r="P52" s="190"/>
    </row>
    <row r="53" spans="13:16" ht="12.75">
      <c r="M53" s="189"/>
      <c r="N53" s="190"/>
      <c r="O53" s="190"/>
      <c r="P53" s="190"/>
    </row>
    <row r="54" spans="13:16" ht="12.75">
      <c r="M54" s="189"/>
      <c r="N54" s="190"/>
      <c r="O54" s="190"/>
      <c r="P54" s="190"/>
    </row>
    <row r="55" spans="13:16" ht="12.75">
      <c r="M55" s="189"/>
      <c r="N55" s="190"/>
      <c r="O55" s="190"/>
      <c r="P55" s="190"/>
    </row>
    <row r="56" spans="13:16" ht="12.75">
      <c r="M56" s="189"/>
      <c r="N56" s="190"/>
      <c r="O56" s="190"/>
      <c r="P56" s="190"/>
    </row>
    <row r="57" spans="13:16" ht="12.75">
      <c r="M57" s="189"/>
      <c r="N57" s="190"/>
      <c r="O57" s="190"/>
      <c r="P57" s="190"/>
    </row>
    <row r="58" spans="13:16" ht="12.75">
      <c r="M58" s="189"/>
      <c r="N58" s="190"/>
      <c r="O58" s="190"/>
      <c r="P58" s="190"/>
    </row>
    <row r="59" spans="13:16" ht="12.75">
      <c r="M59" s="189"/>
      <c r="N59" s="190"/>
      <c r="O59" s="190"/>
      <c r="P59" s="190"/>
    </row>
    <row r="60" spans="13:16" ht="12.75">
      <c r="M60" s="189"/>
      <c r="N60" s="190"/>
      <c r="O60" s="190"/>
      <c r="P60" s="190"/>
    </row>
    <row r="61" spans="13:16" ht="12.75">
      <c r="M61" s="189"/>
      <c r="N61" s="190"/>
      <c r="O61" s="190"/>
      <c r="P61" s="190"/>
    </row>
    <row r="62" spans="13:16" ht="12.75">
      <c r="M62" s="189"/>
      <c r="N62" s="190"/>
      <c r="O62" s="190"/>
      <c r="P62" s="190"/>
    </row>
    <row r="63" spans="13:16" ht="12.75">
      <c r="M63" s="189"/>
      <c r="N63" s="190"/>
      <c r="O63" s="190"/>
      <c r="P63" s="190"/>
    </row>
    <row r="64" spans="13:16" ht="12.75">
      <c r="M64" s="189"/>
      <c r="N64" s="190"/>
      <c r="O64" s="190"/>
      <c r="P64" s="190"/>
    </row>
    <row r="65" spans="13:16" ht="12.75">
      <c r="M65" s="189"/>
      <c r="N65" s="190"/>
      <c r="O65" s="190"/>
      <c r="P65" s="190"/>
    </row>
    <row r="66" spans="13:16" ht="12.75">
      <c r="M66" s="189"/>
      <c r="N66" s="190"/>
      <c r="O66" s="190"/>
      <c r="P66" s="190"/>
    </row>
    <row r="67" spans="13:16" ht="12.75">
      <c r="M67" s="189"/>
      <c r="N67" s="190"/>
      <c r="O67" s="190"/>
      <c r="P67" s="190"/>
    </row>
    <row r="68" spans="13:16" ht="12.75">
      <c r="M68" s="189"/>
      <c r="N68" s="190"/>
      <c r="O68" s="190"/>
      <c r="P68" s="190"/>
    </row>
    <row r="69" spans="13:16" ht="12.75">
      <c r="M69" s="189"/>
      <c r="N69" s="190"/>
      <c r="O69" s="190"/>
      <c r="P69" s="190"/>
    </row>
    <row r="70" spans="13:16" ht="12.75">
      <c r="M70" s="189"/>
      <c r="N70" s="190"/>
      <c r="O70" s="190"/>
      <c r="P70" s="190"/>
    </row>
    <row r="71" spans="13:16" ht="12.75">
      <c r="M71" s="189"/>
      <c r="N71" s="190"/>
      <c r="O71" s="190"/>
      <c r="P71" s="190"/>
    </row>
    <row r="72" spans="13:16" ht="12.75">
      <c r="M72" s="189"/>
      <c r="N72" s="190"/>
      <c r="O72" s="190"/>
      <c r="P72" s="190"/>
    </row>
    <row r="73" spans="13:16" ht="12.75">
      <c r="M73" s="189"/>
      <c r="N73" s="190"/>
      <c r="O73" s="190"/>
      <c r="P73" s="190"/>
    </row>
    <row r="74" spans="13:16" ht="12.75">
      <c r="M74" s="189"/>
      <c r="N74" s="190"/>
      <c r="O74" s="190"/>
      <c r="P74" s="190"/>
    </row>
    <row r="75" spans="13:16" ht="12.75">
      <c r="M75" s="189"/>
      <c r="N75" s="190"/>
      <c r="O75" s="190"/>
      <c r="P75" s="190"/>
    </row>
    <row r="76" spans="13:16" ht="12.75">
      <c r="M76" s="189"/>
      <c r="N76" s="190"/>
      <c r="O76" s="190"/>
      <c r="P76" s="190"/>
    </row>
    <row r="77" spans="13:16" ht="12.75">
      <c r="M77" s="189"/>
      <c r="N77" s="190"/>
      <c r="O77" s="190"/>
      <c r="P77" s="190"/>
    </row>
    <row r="78" spans="13:16" ht="12.75">
      <c r="M78" s="189"/>
      <c r="N78" s="190"/>
      <c r="O78" s="190"/>
      <c r="P78" s="190"/>
    </row>
    <row r="79" spans="13:16" ht="12.75">
      <c r="M79" s="189"/>
      <c r="N79" s="190"/>
      <c r="O79" s="190"/>
      <c r="P79" s="190"/>
    </row>
    <row r="80" spans="13:16" ht="12.75">
      <c r="M80" s="189"/>
      <c r="N80" s="190"/>
      <c r="O80" s="190"/>
      <c r="P80" s="190"/>
    </row>
    <row r="81" spans="13:16" ht="12.75">
      <c r="M81" s="189"/>
      <c r="N81" s="190"/>
      <c r="O81" s="190"/>
      <c r="P81" s="190"/>
    </row>
    <row r="82" spans="13:16" ht="12.75">
      <c r="M82" s="189"/>
      <c r="N82" s="190"/>
      <c r="O82" s="190"/>
      <c r="P82" s="190"/>
    </row>
    <row r="83" spans="13:16" ht="12.75">
      <c r="M83" s="189"/>
      <c r="N83" s="190"/>
      <c r="O83" s="190"/>
      <c r="P83" s="190"/>
    </row>
    <row r="84" spans="13:16" ht="12.75">
      <c r="M84" s="189"/>
      <c r="N84" s="190"/>
      <c r="O84" s="190"/>
      <c r="P84" s="190"/>
    </row>
    <row r="85" spans="13:16" ht="12.75">
      <c r="M85" s="189"/>
      <c r="N85" s="190"/>
      <c r="O85" s="190"/>
      <c r="P85" s="190"/>
    </row>
    <row r="86" spans="13:16" ht="12.75">
      <c r="M86" s="189"/>
      <c r="N86" s="190"/>
      <c r="O86" s="190"/>
      <c r="P86" s="190"/>
    </row>
    <row r="87" spans="13:16" ht="12.75">
      <c r="M87" s="189"/>
      <c r="N87" s="190"/>
      <c r="O87" s="190"/>
      <c r="P87" s="190"/>
    </row>
    <row r="88" spans="13:16" ht="12.75">
      <c r="M88" s="189"/>
      <c r="N88" s="190"/>
      <c r="O88" s="190"/>
      <c r="P88" s="190"/>
    </row>
    <row r="89" spans="13:16" ht="12.75">
      <c r="M89" s="189"/>
      <c r="N89" s="190"/>
      <c r="O89" s="190"/>
      <c r="P89" s="190"/>
    </row>
    <row r="90" spans="13:16" ht="12.75">
      <c r="M90" s="189"/>
      <c r="N90" s="190"/>
      <c r="O90" s="190"/>
      <c r="P90" s="190"/>
    </row>
    <row r="91" spans="13:16" ht="12.75">
      <c r="M91" s="189"/>
      <c r="N91" s="190"/>
      <c r="O91" s="190"/>
      <c r="P91" s="190"/>
    </row>
    <row r="92" spans="13:16" ht="12.75">
      <c r="M92" s="189"/>
      <c r="N92" s="190"/>
      <c r="O92" s="190"/>
      <c r="P92" s="190"/>
    </row>
    <row r="93" spans="13:16" ht="12.75">
      <c r="M93" s="189"/>
      <c r="N93" s="190"/>
      <c r="O93" s="190"/>
      <c r="P93" s="190"/>
    </row>
    <row r="94" spans="13:16" ht="12.75">
      <c r="M94" s="189"/>
      <c r="N94" s="190"/>
      <c r="O94" s="190"/>
      <c r="P94" s="190"/>
    </row>
    <row r="95" spans="13:16" ht="12.75">
      <c r="M95" s="189"/>
      <c r="N95" s="190"/>
      <c r="O95" s="190"/>
      <c r="P95" s="190"/>
    </row>
    <row r="96" spans="13:16" ht="12.75">
      <c r="M96" s="189"/>
      <c r="N96" s="190"/>
      <c r="O96" s="190"/>
      <c r="P96" s="190"/>
    </row>
    <row r="97" spans="13:16" ht="12.75">
      <c r="M97" s="189"/>
      <c r="N97" s="190"/>
      <c r="O97" s="190"/>
      <c r="P97" s="190"/>
    </row>
    <row r="98" spans="13:16" ht="12.75">
      <c r="M98" s="189"/>
      <c r="N98" s="190"/>
      <c r="O98" s="190"/>
      <c r="P98" s="190"/>
    </row>
    <row r="99" spans="13:16" ht="12.75">
      <c r="M99" s="189"/>
      <c r="N99" s="190"/>
      <c r="O99" s="190"/>
      <c r="P99" s="190"/>
    </row>
    <row r="100" spans="13:16" ht="12.75">
      <c r="M100" s="189"/>
      <c r="N100" s="190"/>
      <c r="O100" s="190"/>
      <c r="P100" s="190"/>
    </row>
    <row r="101" spans="13:16" ht="12.75">
      <c r="M101" s="189"/>
      <c r="N101" s="190"/>
      <c r="O101" s="190"/>
      <c r="P101" s="190"/>
    </row>
    <row r="102" spans="13:16" ht="12.75">
      <c r="M102" s="189"/>
      <c r="N102" s="190"/>
      <c r="O102" s="190"/>
      <c r="P102" s="190"/>
    </row>
    <row r="103" spans="13:16" ht="12.75">
      <c r="M103" s="189"/>
      <c r="N103" s="190"/>
      <c r="O103" s="190"/>
      <c r="P103" s="190"/>
    </row>
    <row r="104" spans="13:16" ht="12.75">
      <c r="M104" s="189"/>
      <c r="N104" s="190"/>
      <c r="O104" s="190"/>
      <c r="P104" s="190"/>
    </row>
    <row r="105" spans="13:16" ht="12.75">
      <c r="M105" s="189"/>
      <c r="N105" s="190"/>
      <c r="O105" s="190"/>
      <c r="P105" s="190"/>
    </row>
    <row r="106" spans="13:16" ht="12.75">
      <c r="M106" s="189"/>
      <c r="N106" s="190"/>
      <c r="O106" s="190"/>
      <c r="P106" s="190"/>
    </row>
    <row r="107" spans="13:16" ht="12.75">
      <c r="M107" s="189"/>
      <c r="N107" s="190"/>
      <c r="O107" s="190"/>
      <c r="P107" s="190"/>
    </row>
    <row r="108" spans="13:16" ht="12.75">
      <c r="M108" s="189"/>
      <c r="N108" s="190"/>
      <c r="O108" s="190"/>
      <c r="P108" s="190"/>
    </row>
    <row r="109" spans="13:16" ht="12.75">
      <c r="M109" s="189"/>
      <c r="N109" s="190"/>
      <c r="O109" s="190"/>
      <c r="P109" s="190"/>
    </row>
    <row r="110" spans="13:16" ht="12.75">
      <c r="M110" s="189"/>
      <c r="N110" s="190"/>
      <c r="O110" s="190"/>
      <c r="P110" s="190"/>
    </row>
    <row r="111" spans="13:16" ht="12.75">
      <c r="M111" s="189"/>
      <c r="N111" s="190"/>
      <c r="O111" s="190"/>
      <c r="P111" s="190"/>
    </row>
    <row r="112" spans="13:16" ht="12.75">
      <c r="M112" s="189"/>
      <c r="N112" s="190"/>
      <c r="O112" s="190"/>
      <c r="P112" s="190"/>
    </row>
    <row r="113" spans="13:16" ht="12.75">
      <c r="M113" s="189"/>
      <c r="N113" s="190"/>
      <c r="O113" s="190"/>
      <c r="P113" s="190"/>
    </row>
    <row r="114" spans="13:16" ht="12.75">
      <c r="M114" s="189"/>
      <c r="N114" s="190"/>
      <c r="O114" s="190"/>
      <c r="P114" s="190"/>
    </row>
    <row r="115" spans="13:16" ht="12.75">
      <c r="M115" s="189"/>
      <c r="N115" s="190"/>
      <c r="O115" s="190"/>
      <c r="P115" s="190"/>
    </row>
    <row r="116" spans="13:16" ht="12.75">
      <c r="M116" s="189"/>
      <c r="N116" s="190"/>
      <c r="O116" s="190"/>
      <c r="P116" s="190"/>
    </row>
    <row r="117" spans="13:16" ht="12.75">
      <c r="M117" s="189"/>
      <c r="N117" s="190"/>
      <c r="O117" s="190"/>
      <c r="P117" s="190"/>
    </row>
  </sheetData>
  <sheetProtection/>
  <mergeCells count="3">
    <mergeCell ref="N3:O3"/>
    <mergeCell ref="N17:O17"/>
    <mergeCell ref="N31:O31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r:id="rId2"/>
  <headerFooter alignWithMargins="0">
    <oddFooter>&amp;CReprésentation graphique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8">
    <tabColor indexed="19"/>
  </sheetPr>
  <dimension ref="B7:E41"/>
  <sheetViews>
    <sheetView showGridLines="0" workbookViewId="0" topLeftCell="A11">
      <selection activeCell="I30" sqref="I30"/>
    </sheetView>
  </sheetViews>
  <sheetFormatPr defaultColWidth="11.421875" defaultRowHeight="12.75"/>
  <cols>
    <col min="1" max="1" width="2.00390625" style="6" customWidth="1"/>
    <col min="2" max="2" width="51.7109375" style="16" customWidth="1"/>
    <col min="3" max="3" width="15.7109375" style="164" customWidth="1"/>
    <col min="4" max="4" width="51.7109375" style="6" customWidth="1"/>
    <col min="5" max="5" width="15.7109375" style="164" customWidth="1"/>
    <col min="6" max="17" width="11.421875" style="275" customWidth="1"/>
    <col min="18" max="16384" width="11.421875" style="6" customWidth="1"/>
  </cols>
  <sheetData>
    <row r="1" ht="12.75"/>
    <row r="2" ht="12.75"/>
    <row r="3" ht="12.75"/>
    <row r="4" ht="12.75"/>
    <row r="5" ht="12.75"/>
    <row r="6" ht="12.75"/>
    <row r="7" spans="2:5" ht="25.5" customHeight="1">
      <c r="B7" s="58" t="s">
        <v>0</v>
      </c>
      <c r="C7" s="154"/>
      <c r="D7" s="59" t="s">
        <v>23</v>
      </c>
      <c r="E7" s="165"/>
    </row>
    <row r="8" spans="2:5" ht="12.75">
      <c r="B8" s="21" t="s">
        <v>1</v>
      </c>
      <c r="C8" s="155"/>
      <c r="D8" s="22" t="s">
        <v>24</v>
      </c>
      <c r="E8" s="166"/>
    </row>
    <row r="9" spans="2:5" ht="12.75">
      <c r="B9" s="23" t="s">
        <v>2</v>
      </c>
      <c r="C9" s="156"/>
      <c r="D9" s="7" t="s">
        <v>34</v>
      </c>
      <c r="E9" s="167"/>
    </row>
    <row r="10" spans="2:5" ht="12.75">
      <c r="B10" s="23" t="s">
        <v>3</v>
      </c>
      <c r="C10" s="156"/>
      <c r="D10" s="7" t="s">
        <v>25</v>
      </c>
      <c r="E10" s="167">
        <f>chiffreaffaires</f>
        <v>824344.0576569787</v>
      </c>
    </row>
    <row r="11" spans="2:5" ht="12.75">
      <c r="B11" s="23" t="s">
        <v>4</v>
      </c>
      <c r="C11" s="156">
        <f>totaldesachatsmp</f>
        <v>165565.21739130435</v>
      </c>
      <c r="D11" s="7" t="s">
        <v>26</v>
      </c>
      <c r="E11" s="167">
        <f>stockproduits</f>
        <v>8345.954392759482</v>
      </c>
    </row>
    <row r="12" spans="2:5" ht="12.75">
      <c r="B12" s="23" t="s">
        <v>5</v>
      </c>
      <c r="C12" s="156">
        <f>stockfinalmp</f>
        <v>-3478.2608695652175</v>
      </c>
      <c r="D12" s="7" t="s">
        <v>27</v>
      </c>
      <c r="E12" s="167"/>
    </row>
    <row r="13" spans="2:5" ht="12.75">
      <c r="B13" s="23" t="s">
        <v>6</v>
      </c>
      <c r="C13" s="156">
        <f>Autres_charges_externes</f>
        <v>209217.20288284894</v>
      </c>
      <c r="D13" s="24" t="s">
        <v>68</v>
      </c>
      <c r="E13" s="167"/>
    </row>
    <row r="14" spans="2:5" ht="12.75">
      <c r="B14" s="23" t="s">
        <v>7</v>
      </c>
      <c r="C14" s="156"/>
      <c r="D14" s="7"/>
      <c r="E14" s="168"/>
    </row>
    <row r="15" spans="2:5" ht="12.75">
      <c r="B15" s="23" t="s">
        <v>8</v>
      </c>
      <c r="C15" s="156">
        <f>salaires_et_traitements</f>
        <v>180000</v>
      </c>
      <c r="D15" s="185"/>
      <c r="E15" s="168"/>
    </row>
    <row r="16" spans="2:5" ht="12.75">
      <c r="B16" s="23" t="s">
        <v>9</v>
      </c>
      <c r="C16" s="156">
        <f>Charges_sur_salaires</f>
        <v>81000</v>
      </c>
      <c r="D16" s="7"/>
      <c r="E16" s="168"/>
    </row>
    <row r="17" spans="2:5" ht="12.75">
      <c r="B17" s="23" t="s">
        <v>10</v>
      </c>
      <c r="C17" s="156">
        <f>dap1+dap2</f>
        <v>11250</v>
      </c>
      <c r="D17" s="185"/>
      <c r="E17" s="168"/>
    </row>
    <row r="18" spans="2:5" ht="12.75">
      <c r="B18" s="23" t="s">
        <v>79</v>
      </c>
      <c r="C18" s="157"/>
      <c r="D18" s="25"/>
      <c r="E18" s="169"/>
    </row>
    <row r="19" spans="2:5" ht="12.75">
      <c r="B19" s="26" t="s">
        <v>11</v>
      </c>
      <c r="C19" s="158">
        <f>SUM(C11:C18)</f>
        <v>643554.159404588</v>
      </c>
      <c r="D19" s="27" t="s">
        <v>11</v>
      </c>
      <c r="E19" s="158">
        <f>SUM(E9:E13)</f>
        <v>832690.0120497382</v>
      </c>
    </row>
    <row r="20" spans="2:5" ht="12.75">
      <c r="B20" s="28"/>
      <c r="C20" s="159"/>
      <c r="D20" s="7"/>
      <c r="E20" s="166"/>
    </row>
    <row r="21" spans="2:5" ht="12.75">
      <c r="B21" s="23"/>
      <c r="C21" s="160"/>
      <c r="D21" s="29" t="s">
        <v>28</v>
      </c>
      <c r="E21" s="168"/>
    </row>
    <row r="22" spans="2:5" ht="12.75">
      <c r="B22" s="28" t="s">
        <v>12</v>
      </c>
      <c r="C22" s="160"/>
      <c r="D22" s="7" t="s">
        <v>29</v>
      </c>
      <c r="E22" s="167"/>
    </row>
    <row r="23" spans="2:5" ht="12.75">
      <c r="B23" s="23" t="s">
        <v>13</v>
      </c>
      <c r="C23" s="156">
        <f>IF(interets="",0,interets)</f>
        <v>1170.0375634998072</v>
      </c>
      <c r="D23" s="25" t="s">
        <v>30</v>
      </c>
      <c r="E23" s="170"/>
    </row>
    <row r="24" spans="2:5" ht="12.75">
      <c r="B24" s="26" t="s">
        <v>14</v>
      </c>
      <c r="C24" s="161">
        <f>IF(C23="",0,C23)</f>
        <v>1170.0375634998072</v>
      </c>
      <c r="D24" s="12" t="s">
        <v>14</v>
      </c>
      <c r="E24" s="161">
        <f>IF(SUM(E22:E23)=0,0,SUM(E22:E23))</f>
        <v>0</v>
      </c>
    </row>
    <row r="25" spans="2:5" ht="12.75">
      <c r="B25" s="23"/>
      <c r="C25" s="160"/>
      <c r="D25" s="5"/>
      <c r="E25" s="166"/>
    </row>
    <row r="26" spans="2:5" ht="12.75">
      <c r="B26" s="28" t="s">
        <v>15</v>
      </c>
      <c r="C26" s="160"/>
      <c r="D26" s="29" t="s">
        <v>31</v>
      </c>
      <c r="E26" s="168"/>
    </row>
    <row r="27" spans="2:5" ht="12.75">
      <c r="B27" s="23" t="s">
        <v>16</v>
      </c>
      <c r="C27" s="156"/>
      <c r="D27" s="7" t="s">
        <v>16</v>
      </c>
      <c r="E27" s="167"/>
    </row>
    <row r="28" spans="2:5" ht="12.75">
      <c r="B28" s="23" t="s">
        <v>82</v>
      </c>
      <c r="C28" s="162"/>
      <c r="D28" s="7" t="s">
        <v>81</v>
      </c>
      <c r="E28" s="171"/>
    </row>
    <row r="29" spans="2:5" ht="12.75">
      <c r="B29" s="23" t="s">
        <v>17</v>
      </c>
      <c r="C29" s="156"/>
      <c r="D29" s="25" t="s">
        <v>17</v>
      </c>
      <c r="E29" s="170"/>
    </row>
    <row r="30" spans="2:5" ht="12.75">
      <c r="B30" s="26" t="s">
        <v>18</v>
      </c>
      <c r="C30" s="161">
        <f>IF(C27+C29=0,0,C27+C29)</f>
        <v>0</v>
      </c>
      <c r="D30" s="11" t="s">
        <v>18</v>
      </c>
      <c r="E30" s="161">
        <f>IF(E27+E29=0,0,E27+E29)</f>
        <v>0</v>
      </c>
    </row>
    <row r="31" spans="2:5" ht="12.75">
      <c r="B31" s="23"/>
      <c r="C31" s="160"/>
      <c r="D31" s="30"/>
      <c r="E31" s="168"/>
    </row>
    <row r="32" spans="2:5" ht="12.75">
      <c r="B32" s="23" t="s">
        <v>19</v>
      </c>
      <c r="C32" s="156"/>
      <c r="D32" s="30"/>
      <c r="E32" s="168"/>
    </row>
    <row r="33" spans="2:5" ht="12.75">
      <c r="B33" s="23"/>
      <c r="C33" s="160"/>
      <c r="D33" s="30"/>
      <c r="E33" s="168"/>
    </row>
    <row r="34" spans="2:5" ht="12.75">
      <c r="B34" s="28" t="s">
        <v>20</v>
      </c>
      <c r="C34" s="159">
        <f>C19+chargesfinancieres+C30</f>
        <v>644724.1969680878</v>
      </c>
      <c r="D34" s="31" t="s">
        <v>32</v>
      </c>
      <c r="E34" s="172">
        <f>SUM(E19,produitsfinanciers,produitsexceptionnels)</f>
        <v>832690.0120497382</v>
      </c>
    </row>
    <row r="35" spans="2:5" ht="12.75">
      <c r="B35" s="23"/>
      <c r="C35" s="160"/>
      <c r="D35" s="30"/>
      <c r="E35" s="168"/>
    </row>
    <row r="36" spans="2:5" ht="12.75">
      <c r="B36" s="28" t="s">
        <v>21</v>
      </c>
      <c r="C36" s="159">
        <f>IF(E34&gt;=C34,E34-C34,"")</f>
        <v>187965.8150816504</v>
      </c>
      <c r="D36" s="31" t="s">
        <v>33</v>
      </c>
      <c r="E36" s="172">
        <f>IF(C34&gt;E34,C34-E34,"")</f>
      </c>
    </row>
    <row r="37" spans="2:5" ht="12.75">
      <c r="B37" s="23"/>
      <c r="C37" s="160"/>
      <c r="D37" s="30"/>
      <c r="E37" s="168"/>
    </row>
    <row r="38" spans="2:5" ht="12.75">
      <c r="B38" s="32" t="s">
        <v>22</v>
      </c>
      <c r="C38" s="163">
        <f>SUM(C34:C36)</f>
        <v>832690.0120497382</v>
      </c>
      <c r="D38" s="33" t="s">
        <v>22</v>
      </c>
      <c r="E38" s="158">
        <f>SUM(E34:E36)</f>
        <v>832690.0120497382</v>
      </c>
    </row>
    <row r="41" ht="12.75">
      <c r="B41" s="17">
        <f>IF(E34=0,0,IF(E34&gt;C34,C36,-E36))</f>
        <v>187965.8150816504</v>
      </c>
    </row>
  </sheetData>
  <sheetProtection/>
  <printOptions/>
  <pageMargins left="0.3937007874015748" right="0.3937007874015748" top="0.3937007874015748" bottom="0.984251968503937" header="0.5118110236220472" footer="0.5118110236220472"/>
  <pageSetup horizontalDpi="300" verticalDpi="300" orientation="landscape" paperSize="9" r:id="rId2"/>
  <headerFooter alignWithMargins="0">
    <oddFooter>&amp;CLe compte de résultat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9">
    <tabColor indexed="13"/>
  </sheetPr>
  <dimension ref="B8:C58"/>
  <sheetViews>
    <sheetView showGridLines="0" workbookViewId="0" topLeftCell="A37">
      <selection activeCell="C43" sqref="C43"/>
    </sheetView>
  </sheetViews>
  <sheetFormatPr defaultColWidth="11.421875" defaultRowHeight="12.75"/>
  <cols>
    <col min="1" max="1" width="3.8515625" style="6" customWidth="1"/>
    <col min="2" max="2" width="63.00390625" style="8" customWidth="1"/>
    <col min="3" max="3" width="15.7109375" style="153" customWidth="1"/>
    <col min="4" max="16384" width="11.421875" style="6" customWidth="1"/>
  </cols>
  <sheetData>
    <row r="1" ht="12.75"/>
    <row r="2" ht="12.75"/>
    <row r="3" ht="12.75"/>
    <row r="4" ht="12.75"/>
    <row r="5" ht="12.75"/>
    <row r="6" ht="12.75"/>
    <row r="8" spans="2:3" ht="12.75">
      <c r="B8" s="633" t="s">
        <v>39</v>
      </c>
      <c r="C8" s="634"/>
    </row>
    <row r="9" spans="2:3" ht="12.75">
      <c r="B9" s="9" t="s">
        <v>54</v>
      </c>
      <c r="C9" s="148">
        <f>'Compte de résultat'!E9</f>
        <v>0</v>
      </c>
    </row>
    <row r="10" spans="2:3" ht="12.75">
      <c r="B10" s="10" t="s">
        <v>53</v>
      </c>
      <c r="C10" s="149">
        <f>'Compte de résultat'!C9</f>
        <v>0</v>
      </c>
    </row>
    <row r="11" spans="2:3" ht="12.75">
      <c r="B11" s="10" t="s">
        <v>52</v>
      </c>
      <c r="C11" s="149">
        <f>'Compte de résultat'!C10</f>
        <v>0</v>
      </c>
    </row>
    <row r="12" spans="2:3" ht="12.75">
      <c r="B12" s="10" t="s">
        <v>43</v>
      </c>
      <c r="C12" s="150">
        <f>C10+C11</f>
        <v>0</v>
      </c>
    </row>
    <row r="13" spans="2:3" ht="12.75">
      <c r="B13" s="195" t="s">
        <v>55</v>
      </c>
      <c r="C13" s="196">
        <f>C9-C12</f>
        <v>0</v>
      </c>
    </row>
    <row r="14" spans="2:3" ht="13.5" customHeight="1">
      <c r="B14" s="18" t="s">
        <v>37</v>
      </c>
      <c r="C14" s="148">
        <f>chiffreaffaires</f>
        <v>824344.0576569787</v>
      </c>
    </row>
    <row r="15" spans="2:3" ht="13.5" customHeight="1">
      <c r="B15" s="19" t="s">
        <v>35</v>
      </c>
      <c r="C15" s="149">
        <f>stockproduits</f>
        <v>8345.954392759482</v>
      </c>
    </row>
    <row r="16" spans="2:3" ht="13.5" customHeight="1">
      <c r="B16" s="19" t="s">
        <v>36</v>
      </c>
      <c r="C16" s="149">
        <f>IF(prodimmo="","",prodimmo)</f>
      </c>
    </row>
    <row r="17" spans="2:3" ht="13.5" customHeight="1">
      <c r="B17" s="195" t="s">
        <v>38</v>
      </c>
      <c r="C17" s="196">
        <f>SUM(C14:C16)</f>
        <v>832690.0120497382</v>
      </c>
    </row>
    <row r="18" spans="2:3" ht="13.5" customHeight="1">
      <c r="B18" s="19" t="s">
        <v>57</v>
      </c>
      <c r="C18" s="149">
        <f>C13+C17</f>
        <v>832690.0120497382</v>
      </c>
    </row>
    <row r="19" spans="2:3" ht="13.5" customHeight="1">
      <c r="B19" s="19" t="s">
        <v>47</v>
      </c>
      <c r="C19" s="149">
        <f>totaldesachatsmp</f>
        <v>165565.21739130435</v>
      </c>
    </row>
    <row r="20" spans="2:3" ht="13.5" customHeight="1">
      <c r="B20" s="19" t="s">
        <v>40</v>
      </c>
      <c r="C20" s="149">
        <f>stockfinalmp</f>
        <v>-3478.2608695652175</v>
      </c>
    </row>
    <row r="21" spans="2:3" ht="13.5" customHeight="1">
      <c r="B21" s="19" t="s">
        <v>41</v>
      </c>
      <c r="C21" s="149">
        <f>Autres_charges_externes</f>
        <v>209217.20288284894</v>
      </c>
    </row>
    <row r="22" spans="2:3" ht="13.5" customHeight="1">
      <c r="B22" s="19" t="s">
        <v>56</v>
      </c>
      <c r="C22" s="149">
        <f>C19+C20+C21</f>
        <v>371304.15940458805</v>
      </c>
    </row>
    <row r="23" spans="2:3" ht="13.5" customHeight="1">
      <c r="B23" s="195" t="s">
        <v>51</v>
      </c>
      <c r="C23" s="196">
        <f>C18-C22</f>
        <v>461385.85264515015</v>
      </c>
    </row>
    <row r="24" spans="2:3" ht="13.5" customHeight="1">
      <c r="B24" s="19" t="s">
        <v>42</v>
      </c>
      <c r="C24" s="150">
        <f>IF(subvention="","",subvention)</f>
      </c>
    </row>
    <row r="25" spans="2:3" ht="13.5" customHeight="1">
      <c r="B25" s="19" t="s">
        <v>45</v>
      </c>
      <c r="C25" s="149"/>
    </row>
    <row r="26" spans="2:3" ht="13.5" customHeight="1">
      <c r="B26" s="19" t="s">
        <v>44</v>
      </c>
      <c r="C26" s="149">
        <f>salaires_et_traitements+Charges_sur_salaires</f>
        <v>261000</v>
      </c>
    </row>
    <row r="27" spans="2:3" ht="13.5" customHeight="1">
      <c r="B27" s="195" t="s">
        <v>46</v>
      </c>
      <c r="C27" s="196">
        <f>SUM(C23:C24)-SUM(C25:C26)</f>
        <v>200385.85264515015</v>
      </c>
    </row>
    <row r="28" spans="2:3" ht="13.5" customHeight="1">
      <c r="B28" s="19" t="s">
        <v>392</v>
      </c>
      <c r="C28" s="149">
        <f>dap1+dap2</f>
        <v>11250</v>
      </c>
    </row>
    <row r="29" spans="2:3" ht="13.5" customHeight="1">
      <c r="B29" s="19" t="s">
        <v>80</v>
      </c>
      <c r="C29" s="149">
        <f>IF(autrescharges="","",autrescharges)</f>
      </c>
    </row>
    <row r="30" spans="2:3" ht="13.5" customHeight="1">
      <c r="B30" s="195" t="s">
        <v>48</v>
      </c>
      <c r="C30" s="196">
        <f>C27-SUM(C28:C29)</f>
        <v>189135.85264515015</v>
      </c>
    </row>
    <row r="31" spans="2:3" ht="13.5" customHeight="1">
      <c r="B31" s="19" t="s">
        <v>272</v>
      </c>
      <c r="C31" s="150">
        <f>IF(produitsfinanciers="","",produitsfinanciers)</f>
        <v>0</v>
      </c>
    </row>
    <row r="32" spans="2:3" ht="13.5" customHeight="1">
      <c r="B32" s="19" t="s">
        <v>49</v>
      </c>
      <c r="C32" s="149">
        <f>chargesfinancieres</f>
        <v>1170.0375634998072</v>
      </c>
    </row>
    <row r="33" spans="2:3" ht="13.5" customHeight="1">
      <c r="B33" s="195" t="s">
        <v>50</v>
      </c>
      <c r="C33" s="196">
        <f>SUM(C30:C31)-SUM(C32)</f>
        <v>187965.81508165033</v>
      </c>
    </row>
    <row r="34" spans="2:3" ht="12.75">
      <c r="B34" s="19" t="s">
        <v>58</v>
      </c>
      <c r="C34" s="148">
        <f>IF(produitsexceptionnels="","",produitsexceptionnels)</f>
        <v>0</v>
      </c>
    </row>
    <row r="35" spans="2:3" ht="12.75">
      <c r="B35" s="19" t="s">
        <v>59</v>
      </c>
      <c r="C35" s="149">
        <f>'Compte de résultat'!C30</f>
        <v>0</v>
      </c>
    </row>
    <row r="36" spans="2:3" ht="12.75">
      <c r="B36" s="195" t="s">
        <v>62</v>
      </c>
      <c r="C36" s="196">
        <f>IF(SUM(C34)-SUM(C35)=0,0,SUM(C34)-SUM(C35))</f>
        <v>0</v>
      </c>
    </row>
    <row r="37" spans="2:3" ht="12.75">
      <c r="B37" s="19" t="s">
        <v>60</v>
      </c>
      <c r="C37" s="151">
        <f>IF(impotbenefice="","",impotbenefice)</f>
      </c>
    </row>
    <row r="38" spans="2:3" ht="12.75">
      <c r="B38" s="195" t="s">
        <v>61</v>
      </c>
      <c r="C38" s="196">
        <f>SUM(C33)+SUM(C36)-SUM(C37)</f>
        <v>187965.81508165033</v>
      </c>
    </row>
    <row r="39" spans="2:3" ht="12.75">
      <c r="B39" s="20"/>
      <c r="C39" s="152"/>
    </row>
    <row r="40" spans="2:3" ht="12.75">
      <c r="B40" s="633" t="s">
        <v>63</v>
      </c>
      <c r="C40" s="634"/>
    </row>
    <row r="41" spans="2:3" ht="12.75">
      <c r="B41" s="18" t="s">
        <v>65</v>
      </c>
      <c r="C41" s="148">
        <f>C38</f>
        <v>187965.81508165033</v>
      </c>
    </row>
    <row r="42" spans="2:3" ht="12.75">
      <c r="B42" s="19" t="s">
        <v>64</v>
      </c>
      <c r="C42" s="149">
        <f>'Compte de résultat'!C17</f>
        <v>11250</v>
      </c>
    </row>
    <row r="43" spans="2:3" ht="12.75">
      <c r="B43" s="19" t="s">
        <v>77</v>
      </c>
      <c r="C43" s="149"/>
    </row>
    <row r="44" spans="2:3" ht="12.75">
      <c r="B44" s="19" t="s">
        <v>66</v>
      </c>
      <c r="C44" s="149">
        <f>IF('Compte de résultat'!C28="","",'Compte de résultat'!C28)</f>
      </c>
    </row>
    <row r="45" spans="2:3" ht="12.75">
      <c r="B45" s="19" t="s">
        <v>78</v>
      </c>
      <c r="C45" s="149">
        <f>IF('Compte de résultat'!E28="","",'Compte de résultat'!E28)</f>
      </c>
    </row>
    <row r="46" spans="2:3" ht="12.75">
      <c r="B46" s="195" t="s">
        <v>67</v>
      </c>
      <c r="C46" s="196">
        <f>SUM(C41)+SUM(C42)-SUM(C43)+SUM(C44)-SUM(C45)</f>
        <v>199215.81508165033</v>
      </c>
    </row>
    <row r="48" spans="2:3" ht="12.75">
      <c r="B48" s="633" t="s">
        <v>69</v>
      </c>
      <c r="C48" s="634"/>
    </row>
    <row r="49" spans="2:3" ht="12.75">
      <c r="B49" s="18" t="s">
        <v>70</v>
      </c>
      <c r="C49" s="148">
        <f>C27</f>
        <v>200385.85264515015</v>
      </c>
    </row>
    <row r="50" spans="2:3" ht="12.75">
      <c r="B50" s="19" t="s">
        <v>71</v>
      </c>
      <c r="C50" s="149"/>
    </row>
    <row r="51" spans="2:3" ht="12.75">
      <c r="B51" s="19" t="s">
        <v>72</v>
      </c>
      <c r="C51" s="149">
        <f>'Compte de résultat'!E24</f>
        <v>0</v>
      </c>
    </row>
    <row r="52" spans="2:3" ht="12.75">
      <c r="B52" s="19" t="s">
        <v>83</v>
      </c>
      <c r="C52" s="149">
        <f>produitsexceptionnels</f>
        <v>0</v>
      </c>
    </row>
    <row r="53" spans="2:3" ht="12.75">
      <c r="B53" s="19" t="s">
        <v>80</v>
      </c>
      <c r="C53" s="149">
        <f>IF(autrescharges=0,"",autrescharges)</f>
      </c>
    </row>
    <row r="54" spans="2:3" ht="12.75">
      <c r="B54" s="19" t="s">
        <v>73</v>
      </c>
      <c r="C54" s="149">
        <f>'Compte de résultat'!C24</f>
        <v>1170.0375634998072</v>
      </c>
    </row>
    <row r="55" spans="2:3" ht="12.75">
      <c r="B55" s="19" t="s">
        <v>74</v>
      </c>
      <c r="C55" s="149"/>
    </row>
    <row r="56" spans="2:3" ht="12.75">
      <c r="B56" s="19" t="s">
        <v>75</v>
      </c>
      <c r="C56" s="149">
        <f>IF('Compte de résultat'!C32="","",'Compte de résultat'!C32)</f>
      </c>
    </row>
    <row r="57" spans="2:3" ht="12.75">
      <c r="B57" s="10" t="s">
        <v>76</v>
      </c>
      <c r="C57" s="149"/>
    </row>
    <row r="58" spans="2:3" ht="12.75">
      <c r="B58" s="195" t="s">
        <v>67</v>
      </c>
      <c r="C58" s="196">
        <f>C49+SUM(C50:C52)-SUM(C53:C57)</f>
        <v>199215.81508165033</v>
      </c>
    </row>
  </sheetData>
  <sheetProtection/>
  <mergeCells count="3">
    <mergeCell ref="B8:C8"/>
    <mergeCell ref="B40:C40"/>
    <mergeCell ref="B48:C48"/>
  </mergeCells>
  <printOptions horizontalCentered="1" verticalCentered="1"/>
  <pageMargins left="0.3937007874015748" right="0.3937007874015748" top="0.3937007874015748" bottom="0.7874015748031497" header="0.5118110236220472" footer="0.5118110236220472"/>
  <pageSetup horizontalDpi="300" verticalDpi="300" orientation="portrait" paperSize="9" r:id="rId2"/>
  <headerFooter alignWithMargins="0">
    <oddFooter>&amp;CSIG et CAF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0">
    <tabColor indexed="61"/>
  </sheetPr>
  <dimension ref="B9:H115"/>
  <sheetViews>
    <sheetView showGridLines="0" workbookViewId="0" topLeftCell="A88">
      <selection activeCell="D97" sqref="D97"/>
    </sheetView>
  </sheetViews>
  <sheetFormatPr defaultColWidth="11.421875" defaultRowHeight="12.75"/>
  <cols>
    <col min="1" max="1" width="1.1484375" style="8" customWidth="1"/>
    <col min="2" max="2" width="3.8515625" style="45" customWidth="1"/>
    <col min="3" max="3" width="47.421875" style="16" customWidth="1"/>
    <col min="4" max="6" width="14.7109375" style="146" customWidth="1"/>
    <col min="7" max="7" width="22.57421875" style="194" customWidth="1"/>
    <col min="8" max="8" width="21.7109375" style="194" customWidth="1"/>
    <col min="9" max="24" width="11.421875" style="194" customWidth="1"/>
    <col min="25" max="16384" width="11.421875" style="8" customWidth="1"/>
  </cols>
  <sheetData>
    <row r="1" ht="12.75"/>
    <row r="2" ht="12.75"/>
    <row r="3" ht="12.75"/>
    <row r="4" ht="12.75"/>
    <row r="5" ht="12.75"/>
    <row r="6" ht="12.75"/>
    <row r="9" spans="2:6" ht="12.75">
      <c r="B9" s="640" t="s">
        <v>128</v>
      </c>
      <c r="C9" s="641"/>
      <c r="D9" s="642" t="s">
        <v>129</v>
      </c>
      <c r="E9" s="642"/>
      <c r="F9" s="643"/>
    </row>
    <row r="10" spans="2:6" ht="12.75">
      <c r="B10" s="52"/>
      <c r="C10" s="53"/>
      <c r="D10" s="131" t="s">
        <v>102</v>
      </c>
      <c r="E10" s="132" t="s">
        <v>103</v>
      </c>
      <c r="F10" s="133" t="s">
        <v>104</v>
      </c>
    </row>
    <row r="11" spans="2:6" ht="12.75">
      <c r="B11" s="637" t="s">
        <v>101</v>
      </c>
      <c r="C11" s="36" t="s">
        <v>84</v>
      </c>
      <c r="D11" s="134"/>
      <c r="E11" s="135"/>
      <c r="F11" s="134">
        <f>IF(D11="","",D11-E11)</f>
      </c>
    </row>
    <row r="12" spans="2:6" ht="12.75">
      <c r="B12" s="637"/>
      <c r="C12" s="35" t="s">
        <v>85</v>
      </c>
      <c r="D12" s="136"/>
      <c r="E12" s="137"/>
      <c r="F12" s="136">
        <f aca="true" t="shared" si="0" ref="F12:F49">IF(D12="","",D12-E12)</f>
      </c>
    </row>
    <row r="13" spans="2:6" ht="12.75">
      <c r="B13" s="637"/>
      <c r="C13" s="35" t="s">
        <v>86</v>
      </c>
      <c r="D13" s="136"/>
      <c r="E13" s="137"/>
      <c r="F13" s="136">
        <f t="shared" si="0"/>
      </c>
    </row>
    <row r="14" spans="2:6" ht="12.75">
      <c r="B14" s="637"/>
      <c r="C14" s="35" t="s">
        <v>87</v>
      </c>
      <c r="D14" s="136">
        <f>IF(incorporelles=0,"",incorporelles)</f>
      </c>
      <c r="E14" s="137">
        <f>IF(dap1=0,"",dap1)</f>
      </c>
      <c r="F14" s="136">
        <f>IF(E14="","",incorporelles-dap1)</f>
      </c>
    </row>
    <row r="15" spans="2:6" ht="12.75">
      <c r="B15" s="637"/>
      <c r="C15" s="35" t="s">
        <v>88</v>
      </c>
      <c r="D15" s="136"/>
      <c r="E15" s="137"/>
      <c r="F15" s="136">
        <f t="shared" si="0"/>
      </c>
    </row>
    <row r="16" spans="2:6" ht="12.75">
      <c r="B16" s="637"/>
      <c r="C16" s="35" t="s">
        <v>89</v>
      </c>
      <c r="D16" s="136"/>
      <c r="E16" s="137"/>
      <c r="F16" s="136">
        <f t="shared" si="0"/>
      </c>
    </row>
    <row r="17" spans="2:6" ht="12.75">
      <c r="B17" s="637"/>
      <c r="C17" s="35" t="s">
        <v>95</v>
      </c>
      <c r="D17" s="136"/>
      <c r="E17" s="137"/>
      <c r="F17" s="136">
        <f t="shared" si="0"/>
      </c>
    </row>
    <row r="18" spans="2:6" ht="12.75">
      <c r="B18" s="637"/>
      <c r="C18" s="35" t="s">
        <v>90</v>
      </c>
      <c r="D18" s="136"/>
      <c r="E18" s="137"/>
      <c r="F18" s="136">
        <f t="shared" si="0"/>
      </c>
    </row>
    <row r="19" spans="2:6" ht="12.75">
      <c r="B19" s="637"/>
      <c r="C19" s="36" t="s">
        <v>91</v>
      </c>
      <c r="D19" s="136"/>
      <c r="E19" s="137"/>
      <c r="F19" s="136">
        <f t="shared" si="0"/>
      </c>
    </row>
    <row r="20" spans="2:6" ht="12.75">
      <c r="B20" s="637"/>
      <c r="C20" s="35" t="s">
        <v>92</v>
      </c>
      <c r="D20" s="136"/>
      <c r="E20" s="137"/>
      <c r="F20" s="136">
        <f t="shared" si="0"/>
      </c>
    </row>
    <row r="21" spans="2:6" ht="12.75">
      <c r="B21" s="637"/>
      <c r="C21" s="35" t="s">
        <v>93</v>
      </c>
      <c r="D21" s="136"/>
      <c r="E21" s="137"/>
      <c r="F21" s="136">
        <f t="shared" si="0"/>
      </c>
    </row>
    <row r="22" spans="2:6" ht="12.75">
      <c r="B22" s="637"/>
      <c r="C22" s="35" t="s">
        <v>94</v>
      </c>
      <c r="D22" s="136">
        <f>corporelles</f>
        <v>45000</v>
      </c>
      <c r="E22" s="137">
        <f>dap2</f>
        <v>11250</v>
      </c>
      <c r="F22" s="136">
        <f>(corporelles-dap2)</f>
        <v>33750</v>
      </c>
    </row>
    <row r="23" spans="2:6" ht="12.75">
      <c r="B23" s="637"/>
      <c r="C23" s="35" t="s">
        <v>89</v>
      </c>
      <c r="D23" s="136"/>
      <c r="E23" s="137"/>
      <c r="F23" s="136">
        <f t="shared" si="0"/>
      </c>
    </row>
    <row r="24" spans="2:6" ht="12.75">
      <c r="B24" s="637"/>
      <c r="C24" s="35" t="s">
        <v>95</v>
      </c>
      <c r="D24" s="136"/>
      <c r="E24" s="137"/>
      <c r="F24" s="136">
        <f t="shared" si="0"/>
      </c>
    </row>
    <row r="25" spans="2:6" ht="12.75">
      <c r="B25" s="637"/>
      <c r="C25" s="35" t="s">
        <v>90</v>
      </c>
      <c r="D25" s="136"/>
      <c r="E25" s="137"/>
      <c r="F25" s="136">
        <f t="shared" si="0"/>
      </c>
    </row>
    <row r="26" spans="2:6" ht="12.75">
      <c r="B26" s="637"/>
      <c r="C26" s="36" t="s">
        <v>96</v>
      </c>
      <c r="D26" s="136"/>
      <c r="E26" s="137"/>
      <c r="F26" s="136">
        <f t="shared" si="0"/>
      </c>
    </row>
    <row r="27" spans="2:6" ht="12.75">
      <c r="B27" s="637"/>
      <c r="C27" s="35" t="s">
        <v>97</v>
      </c>
      <c r="D27" s="136"/>
      <c r="E27" s="137"/>
      <c r="F27" s="136">
        <f t="shared" si="0"/>
      </c>
    </row>
    <row r="28" spans="2:6" ht="12.75">
      <c r="B28" s="637"/>
      <c r="C28" s="35" t="s">
        <v>98</v>
      </c>
      <c r="D28" s="136"/>
      <c r="E28" s="137"/>
      <c r="F28" s="136">
        <f t="shared" si="0"/>
      </c>
    </row>
    <row r="29" spans="2:6" ht="12.75">
      <c r="B29" s="637"/>
      <c r="C29" s="35" t="s">
        <v>126</v>
      </c>
      <c r="D29" s="136"/>
      <c r="E29" s="137"/>
      <c r="F29" s="136">
        <f t="shared" si="0"/>
      </c>
    </row>
    <row r="30" spans="2:6" ht="12.75">
      <c r="B30" s="637"/>
      <c r="C30" s="35" t="s">
        <v>99</v>
      </c>
      <c r="D30" s="136"/>
      <c r="E30" s="137"/>
      <c r="F30" s="136">
        <f t="shared" si="0"/>
      </c>
    </row>
    <row r="31" spans="2:6" ht="12.75">
      <c r="B31" s="637"/>
      <c r="C31" s="35" t="s">
        <v>100</v>
      </c>
      <c r="D31" s="136"/>
      <c r="E31" s="137"/>
      <c r="F31" s="136">
        <f t="shared" si="0"/>
      </c>
    </row>
    <row r="32" spans="2:6" ht="12.75">
      <c r="B32" s="637"/>
      <c r="C32" s="35" t="s">
        <v>89</v>
      </c>
      <c r="D32" s="136"/>
      <c r="E32" s="137"/>
      <c r="F32" s="138">
        <f t="shared" si="0"/>
      </c>
    </row>
    <row r="33" spans="2:6" ht="12.75">
      <c r="B33" s="638"/>
      <c r="C33" s="26" t="s">
        <v>119</v>
      </c>
      <c r="D33" s="139">
        <f>SUM(D11:D32)</f>
        <v>45000</v>
      </c>
      <c r="E33" s="139">
        <f>SUM(E11:E32)</f>
        <v>11250</v>
      </c>
      <c r="F33" s="140">
        <f>SUM(F14)+SUM(F22)</f>
        <v>33750</v>
      </c>
    </row>
    <row r="34" spans="2:6" ht="12.75">
      <c r="B34" s="644" t="s">
        <v>125</v>
      </c>
      <c r="C34" s="37" t="s">
        <v>105</v>
      </c>
      <c r="D34" s="134"/>
      <c r="E34" s="135"/>
      <c r="F34" s="134">
        <f t="shared" si="0"/>
      </c>
    </row>
    <row r="35" spans="2:6" ht="12.75">
      <c r="B35" s="637"/>
      <c r="C35" s="38" t="s">
        <v>106</v>
      </c>
      <c r="D35" s="136">
        <f>-stockfinalmp</f>
        <v>3478.2608695652175</v>
      </c>
      <c r="E35" s="137"/>
      <c r="F35" s="136">
        <f>-stockfinalmp</f>
        <v>3478.2608695652175</v>
      </c>
    </row>
    <row r="36" spans="2:6" ht="12.75">
      <c r="B36" s="637"/>
      <c r="C36" s="38" t="s">
        <v>107</v>
      </c>
      <c r="D36" s="136"/>
      <c r="E36" s="137"/>
      <c r="F36" s="136">
        <f t="shared" si="0"/>
      </c>
    </row>
    <row r="37" spans="2:6" ht="12.75">
      <c r="B37" s="637"/>
      <c r="C37" s="38" t="s">
        <v>108</v>
      </c>
      <c r="D37" s="136">
        <f>stockproduitsfinis</f>
        <v>8345.954392759482</v>
      </c>
      <c r="E37" s="137"/>
      <c r="F37" s="136">
        <f>stockproduitsfinis</f>
        <v>8345.954392759482</v>
      </c>
    </row>
    <row r="38" spans="2:6" ht="12.75">
      <c r="B38" s="637"/>
      <c r="C38" s="38" t="s">
        <v>109</v>
      </c>
      <c r="D38" s="136"/>
      <c r="E38" s="137"/>
      <c r="F38" s="136">
        <f t="shared" si="0"/>
      </c>
    </row>
    <row r="39" spans="2:6" ht="12.75">
      <c r="B39" s="637"/>
      <c r="C39" s="36" t="s">
        <v>110</v>
      </c>
      <c r="D39" s="136"/>
      <c r="E39" s="137"/>
      <c r="F39" s="136">
        <f t="shared" si="0"/>
      </c>
    </row>
    <row r="40" spans="2:6" ht="12.75">
      <c r="B40" s="637"/>
      <c r="C40" s="36" t="s">
        <v>111</v>
      </c>
      <c r="D40" s="136"/>
      <c r="E40" s="137"/>
      <c r="F40" s="136">
        <f t="shared" si="0"/>
      </c>
    </row>
    <row r="41" spans="2:6" ht="12.75">
      <c r="B41" s="637"/>
      <c r="C41" s="35" t="s">
        <v>112</v>
      </c>
      <c r="D41" s="136">
        <f>clients</f>
        <v>0</v>
      </c>
      <c r="E41" s="137"/>
      <c r="F41" s="136">
        <f>SUM(D41)-SUM(E41)</f>
        <v>0</v>
      </c>
    </row>
    <row r="42" spans="2:6" ht="12.75">
      <c r="B42" s="637"/>
      <c r="C42" s="35" t="s">
        <v>169</v>
      </c>
      <c r="D42" s="136"/>
      <c r="E42" s="137"/>
      <c r="F42" s="136">
        <f t="shared" si="0"/>
      </c>
    </row>
    <row r="43" spans="2:6" ht="12.75">
      <c r="B43" s="637"/>
      <c r="C43" s="35" t="s">
        <v>113</v>
      </c>
      <c r="D43" s="136"/>
      <c r="E43" s="137"/>
      <c r="F43" s="136">
        <f t="shared" si="0"/>
      </c>
    </row>
    <row r="44" spans="2:6" ht="12.75">
      <c r="B44" s="637"/>
      <c r="C44" s="36" t="s">
        <v>114</v>
      </c>
      <c r="D44" s="136"/>
      <c r="E44" s="137"/>
      <c r="F44" s="136">
        <f t="shared" si="0"/>
      </c>
    </row>
    <row r="45" spans="2:6" ht="12.75">
      <c r="B45" s="637"/>
      <c r="C45" s="35" t="s">
        <v>115</v>
      </c>
      <c r="D45" s="136"/>
      <c r="E45" s="137"/>
      <c r="F45" s="136">
        <f t="shared" si="0"/>
      </c>
    </row>
    <row r="46" spans="2:6" ht="12.75">
      <c r="B46" s="637"/>
      <c r="C46" s="35" t="s">
        <v>116</v>
      </c>
      <c r="D46" s="136"/>
      <c r="E46" s="137"/>
      <c r="F46" s="136">
        <f t="shared" si="0"/>
      </c>
    </row>
    <row r="47" spans="2:6" ht="12.75">
      <c r="B47" s="637"/>
      <c r="C47" s="35" t="s">
        <v>127</v>
      </c>
      <c r="D47" s="136"/>
      <c r="E47" s="137"/>
      <c r="F47" s="136">
        <f t="shared" si="0"/>
      </c>
    </row>
    <row r="48" spans="2:7" ht="12.75">
      <c r="B48" s="638"/>
      <c r="C48" s="28" t="s">
        <v>117</v>
      </c>
      <c r="D48" s="141">
        <f>IF(banquefin&lt;0,"",banquefin)</f>
        <v>200393.3726737388</v>
      </c>
      <c r="E48" s="137"/>
      <c r="F48" s="136">
        <f>IF(D48="","",D48-E48)</f>
        <v>200393.3726737388</v>
      </c>
      <c r="G48" s="407"/>
    </row>
    <row r="49" spans="2:6" ht="12.75">
      <c r="B49" s="644"/>
      <c r="C49" s="39" t="s">
        <v>118</v>
      </c>
      <c r="D49" s="142"/>
      <c r="E49" s="137"/>
      <c r="F49" s="138">
        <f t="shared" si="0"/>
      </c>
    </row>
    <row r="50" spans="2:6" ht="12.75">
      <c r="B50" s="637"/>
      <c r="C50" s="40" t="s">
        <v>124</v>
      </c>
      <c r="D50" s="139">
        <f>SUM(D35:D49)</f>
        <v>212217.5879360635</v>
      </c>
      <c r="E50" s="139">
        <f>IF(SUM(E34:E49)=0,"",SUM(E34:E49))</f>
      </c>
      <c r="F50" s="140">
        <f>SUM(F34:F49)</f>
        <v>212217.5879360635</v>
      </c>
    </row>
    <row r="51" spans="2:6" ht="12.75">
      <c r="B51" s="638"/>
      <c r="C51" s="16" t="s">
        <v>121</v>
      </c>
      <c r="D51" s="134"/>
      <c r="E51" s="135"/>
      <c r="F51" s="134"/>
    </row>
    <row r="52" spans="2:6" ht="12.75">
      <c r="B52" s="54"/>
      <c r="C52" s="16" t="s">
        <v>122</v>
      </c>
      <c r="D52" s="136"/>
      <c r="E52" s="137"/>
      <c r="F52" s="136"/>
    </row>
    <row r="53" spans="2:6" ht="12.75">
      <c r="B53" s="55"/>
      <c r="C53" s="16" t="s">
        <v>123</v>
      </c>
      <c r="D53" s="136"/>
      <c r="E53" s="137"/>
      <c r="F53" s="138"/>
    </row>
    <row r="54" spans="2:6" ht="12.75">
      <c r="B54" s="56"/>
      <c r="C54" s="41" t="s">
        <v>120</v>
      </c>
      <c r="D54" s="139">
        <f>SUM(D33)+SUM(D50)</f>
        <v>257217.5879360635</v>
      </c>
      <c r="E54" s="139">
        <f>SUM(E33)+SUM(E50)</f>
        <v>11250</v>
      </c>
      <c r="F54" s="143">
        <f>SUM(F33)+SUM(F50)</f>
        <v>245967.5879360635</v>
      </c>
    </row>
    <row r="56" ht="12.75"/>
    <row r="57" ht="12.75"/>
    <row r="58" ht="12.75"/>
    <row r="59" ht="12.75"/>
    <row r="60" ht="12.75"/>
    <row r="61" ht="12.75"/>
    <row r="63" spans="2:6" ht="15">
      <c r="B63" s="42"/>
      <c r="C63" s="43"/>
      <c r="D63" s="144"/>
      <c r="E63" s="144"/>
      <c r="F63" s="144"/>
    </row>
    <row r="64" spans="2:5" ht="12.75">
      <c r="B64" s="56"/>
      <c r="C64" s="57" t="s">
        <v>163</v>
      </c>
      <c r="D64" s="145" t="s">
        <v>129</v>
      </c>
      <c r="E64" s="137"/>
    </row>
    <row r="65" spans="2:5" ht="12.75">
      <c r="B65" s="644" t="s">
        <v>164</v>
      </c>
      <c r="C65" s="34" t="s">
        <v>130</v>
      </c>
      <c r="D65" s="135"/>
      <c r="E65" s="137"/>
    </row>
    <row r="66" spans="2:5" ht="12.75">
      <c r="B66" s="637"/>
      <c r="C66" s="35" t="s">
        <v>131</v>
      </c>
      <c r="D66" s="137">
        <f>capital</f>
        <v>33800</v>
      </c>
      <c r="E66" s="137"/>
    </row>
    <row r="67" spans="2:5" ht="12.75">
      <c r="B67" s="637"/>
      <c r="C67" s="35" t="s">
        <v>132</v>
      </c>
      <c r="D67" s="137"/>
      <c r="E67" s="137"/>
    </row>
    <row r="68" spans="2:5" ht="12.75">
      <c r="B68" s="637"/>
      <c r="C68" s="35" t="s">
        <v>133</v>
      </c>
      <c r="D68" s="137"/>
      <c r="E68" s="137"/>
    </row>
    <row r="69" spans="2:8" ht="12.75">
      <c r="B69" s="637"/>
      <c r="C69" s="35" t="s">
        <v>134</v>
      </c>
      <c r="D69" s="137"/>
      <c r="E69" s="137"/>
      <c r="H69" s="274">
        <f>F54-D115</f>
        <v>0</v>
      </c>
    </row>
    <row r="70" spans="2:5" ht="12.75">
      <c r="B70" s="637"/>
      <c r="C70" s="35" t="s">
        <v>135</v>
      </c>
      <c r="D70" s="137"/>
      <c r="E70" s="137"/>
    </row>
    <row r="71" spans="2:5" ht="12.75">
      <c r="B71" s="637"/>
      <c r="C71" s="35"/>
      <c r="D71" s="137"/>
      <c r="E71" s="137"/>
    </row>
    <row r="72" spans="2:7" ht="12.75">
      <c r="B72" s="637"/>
      <c r="C72" s="44" t="s">
        <v>136</v>
      </c>
      <c r="D72" s="137"/>
      <c r="E72" s="137"/>
      <c r="G72" s="408"/>
    </row>
    <row r="73" spans="2:7" ht="12.75">
      <c r="B73" s="637"/>
      <c r="C73" s="35" t="s">
        <v>137</v>
      </c>
      <c r="D73" s="137"/>
      <c r="E73" s="137"/>
      <c r="G73" s="274">
        <f>F54-D115</f>
        <v>0</v>
      </c>
    </row>
    <row r="74" spans="2:5" ht="12.75">
      <c r="B74" s="637"/>
      <c r="C74" s="35" t="s">
        <v>138</v>
      </c>
      <c r="D74" s="137"/>
      <c r="E74" s="137"/>
    </row>
    <row r="75" spans="2:5" ht="12.75">
      <c r="B75" s="637"/>
      <c r="C75" s="35" t="s">
        <v>139</v>
      </c>
      <c r="D75" s="137"/>
      <c r="E75" s="137"/>
    </row>
    <row r="76" spans="2:5" ht="12.75">
      <c r="B76" s="637"/>
      <c r="C76" s="35" t="s">
        <v>89</v>
      </c>
      <c r="D76" s="137"/>
      <c r="E76" s="137"/>
    </row>
    <row r="77" spans="2:5" ht="12.75">
      <c r="B77" s="637"/>
      <c r="C77" s="35"/>
      <c r="D77" s="137"/>
      <c r="E77" s="137"/>
    </row>
    <row r="78" spans="2:5" ht="12.75">
      <c r="B78" s="637"/>
      <c r="C78" s="35" t="s">
        <v>140</v>
      </c>
      <c r="D78" s="137"/>
      <c r="E78" s="137"/>
    </row>
    <row r="79" spans="2:5" ht="12.75">
      <c r="B79" s="637"/>
      <c r="C79" s="35" t="s">
        <v>141</v>
      </c>
      <c r="D79" s="137">
        <f>resultatexercice</f>
        <v>187965.81508165033</v>
      </c>
      <c r="E79" s="137"/>
    </row>
    <row r="80" spans="2:5" ht="12.75">
      <c r="B80" s="637"/>
      <c r="C80" s="35" t="s">
        <v>142</v>
      </c>
      <c r="D80" s="137"/>
      <c r="E80" s="137"/>
    </row>
    <row r="81" spans="2:5" ht="12.75">
      <c r="B81" s="637"/>
      <c r="C81" s="35" t="s">
        <v>143</v>
      </c>
      <c r="D81" s="137"/>
      <c r="E81" s="137"/>
    </row>
    <row r="82" spans="2:5" ht="12.75">
      <c r="B82" s="637"/>
      <c r="C82" s="35"/>
      <c r="D82" s="137"/>
      <c r="E82" s="137"/>
    </row>
    <row r="83" spans="2:5" ht="12.75">
      <c r="B83" s="637"/>
      <c r="C83" s="26" t="s">
        <v>119</v>
      </c>
      <c r="D83" s="147">
        <f>SUM(D65:D82)</f>
        <v>221765.81508165033</v>
      </c>
      <c r="E83" s="137"/>
    </row>
    <row r="84" spans="2:5" ht="12.75">
      <c r="B84" s="637"/>
      <c r="C84" s="36" t="s">
        <v>144</v>
      </c>
      <c r="D84" s="137"/>
      <c r="E84" s="137"/>
    </row>
    <row r="85" spans="2:5" ht="12.75">
      <c r="B85" s="637"/>
      <c r="C85" s="35" t="s">
        <v>145</v>
      </c>
      <c r="D85" s="137"/>
      <c r="E85" s="137"/>
    </row>
    <row r="86" spans="2:5" ht="12.75">
      <c r="B86" s="637"/>
      <c r="C86" s="35" t="s">
        <v>146</v>
      </c>
      <c r="D86" s="137"/>
      <c r="E86" s="137"/>
    </row>
    <row r="87" spans="2:5" ht="12.75">
      <c r="B87" s="637"/>
      <c r="C87" s="35" t="s">
        <v>89</v>
      </c>
      <c r="D87" s="137"/>
      <c r="E87" s="137"/>
    </row>
    <row r="88" spans="2:5" ht="12.75">
      <c r="B88" s="638"/>
      <c r="C88" s="26" t="s">
        <v>147</v>
      </c>
      <c r="D88" s="147">
        <f>IF(SUM(D84:D87)=0,"",SUM(D84:D87))</f>
      </c>
      <c r="E88" s="137"/>
    </row>
    <row r="89" spans="2:5" ht="12.75">
      <c r="B89" s="635" t="s">
        <v>168</v>
      </c>
      <c r="C89" s="36" t="s">
        <v>148</v>
      </c>
      <c r="D89" s="137"/>
      <c r="E89" s="137"/>
    </row>
    <row r="90" spans="2:5" ht="12.75">
      <c r="B90" s="635"/>
      <c r="C90" s="35" t="s">
        <v>149</v>
      </c>
      <c r="D90" s="137"/>
      <c r="E90" s="137"/>
    </row>
    <row r="91" spans="2:5" ht="12.75">
      <c r="B91" s="635"/>
      <c r="C91" s="35" t="s">
        <v>150</v>
      </c>
      <c r="D91" s="137"/>
      <c r="E91" s="137"/>
    </row>
    <row r="92" spans="2:5" ht="12.75">
      <c r="B92" s="636"/>
      <c r="C92" s="26" t="s">
        <v>124</v>
      </c>
      <c r="D92" s="147">
        <f>IF(D90+D91=0,"",D90+D91)</f>
      </c>
      <c r="E92" s="137"/>
    </row>
    <row r="93" spans="2:5" ht="12.75">
      <c r="B93" s="637" t="s">
        <v>165</v>
      </c>
      <c r="C93" s="36" t="s">
        <v>151</v>
      </c>
      <c r="D93" s="137"/>
      <c r="E93" s="137"/>
    </row>
    <row r="94" spans="2:5" ht="12.75">
      <c r="B94" s="637"/>
      <c r="C94" s="35" t="s">
        <v>152</v>
      </c>
      <c r="D94" s="137"/>
      <c r="E94" s="137"/>
    </row>
    <row r="95" spans="2:5" ht="12.75">
      <c r="B95" s="637"/>
      <c r="C95" s="35" t="s">
        <v>153</v>
      </c>
      <c r="D95" s="137"/>
      <c r="E95" s="137"/>
    </row>
    <row r="96" spans="2:5" ht="12.75">
      <c r="B96" s="637"/>
      <c r="C96" s="35" t="s">
        <v>154</v>
      </c>
      <c r="D96" s="377">
        <f>emprunt_total-amtemprunt</f>
        <v>17451.772854413215</v>
      </c>
      <c r="E96" s="137"/>
    </row>
    <row r="97" spans="2:5" ht="12.75">
      <c r="B97" s="637"/>
      <c r="C97" s="35">
        <f>IF(banquefin&lt;0,"Soldes Créditeurs de Banque","")</f>
      </c>
      <c r="D97" s="141">
        <f>IF(banquefin&lt;0,-banquefin,"")</f>
      </c>
      <c r="E97" s="137"/>
    </row>
    <row r="98" spans="2:5" ht="12.75">
      <c r="B98" s="637"/>
      <c r="C98" s="35"/>
      <c r="D98" s="137"/>
      <c r="E98" s="137"/>
    </row>
    <row r="99" spans="2:5" ht="12.75">
      <c r="B99" s="637"/>
      <c r="C99" s="35"/>
      <c r="D99" s="137"/>
      <c r="E99" s="137"/>
    </row>
    <row r="100" spans="2:5" ht="12.75">
      <c r="B100" s="637"/>
      <c r="C100" s="35" t="s">
        <v>155</v>
      </c>
      <c r="D100" s="137"/>
      <c r="E100" s="137"/>
    </row>
    <row r="101" spans="2:5" ht="12.75">
      <c r="B101" s="637"/>
      <c r="C101" s="35" t="s">
        <v>156</v>
      </c>
      <c r="D101" s="137">
        <f>fournisseurs</f>
        <v>0</v>
      </c>
      <c r="E101" s="137"/>
    </row>
    <row r="102" spans="2:5" ht="12.75">
      <c r="B102" s="637"/>
      <c r="C102" s="35" t="s">
        <v>157</v>
      </c>
      <c r="D102" s="248">
        <f>charges_sociales</f>
        <v>6750</v>
      </c>
      <c r="E102" s="137"/>
    </row>
    <row r="103" spans="2:5" ht="12.75">
      <c r="B103" s="637"/>
      <c r="C103" s="35"/>
      <c r="D103" s="137"/>
      <c r="E103" s="137"/>
    </row>
    <row r="104" spans="2:5" ht="12.75">
      <c r="B104" s="637"/>
      <c r="C104" s="35" t="s">
        <v>158</v>
      </c>
      <c r="D104" s="137"/>
      <c r="E104" s="137"/>
    </row>
    <row r="105" spans="2:5" ht="12.75">
      <c r="B105" s="637"/>
      <c r="C105" s="35"/>
      <c r="D105" s="137"/>
      <c r="E105" s="137"/>
    </row>
    <row r="106" spans="2:5" ht="12.75">
      <c r="B106" s="637"/>
      <c r="C106" s="35" t="s">
        <v>159</v>
      </c>
      <c r="D106" s="137"/>
      <c r="E106" s="137"/>
    </row>
    <row r="107" spans="2:5" ht="12.75">
      <c r="B107" s="637"/>
      <c r="C107" s="35"/>
      <c r="D107" s="137"/>
      <c r="E107" s="137"/>
    </row>
    <row r="108" spans="2:5" ht="12.75">
      <c r="B108" s="638"/>
      <c r="C108" s="35" t="s">
        <v>127</v>
      </c>
      <c r="D108" s="137"/>
      <c r="E108" s="137"/>
    </row>
    <row r="109" spans="2:5" ht="12.75">
      <c r="B109" s="639" t="s">
        <v>167</v>
      </c>
      <c r="C109" s="35" t="s">
        <v>160</v>
      </c>
      <c r="D109" s="137"/>
      <c r="E109" s="137"/>
    </row>
    <row r="110" spans="2:5" ht="12.75">
      <c r="B110" s="635"/>
      <c r="C110" s="35"/>
      <c r="D110" s="137"/>
      <c r="E110" s="137"/>
    </row>
    <row r="111" spans="2:5" ht="12.75">
      <c r="B111" s="635"/>
      <c r="C111" s="26" t="s">
        <v>161</v>
      </c>
      <c r="D111" s="147">
        <f>SUM(D93:D110)</f>
        <v>24201.772854413215</v>
      </c>
      <c r="E111" s="137"/>
    </row>
    <row r="112" spans="2:5" ht="12.75">
      <c r="B112" s="635"/>
      <c r="C112" s="35"/>
      <c r="D112" s="137"/>
      <c r="E112" s="137"/>
    </row>
    <row r="113" spans="2:5" ht="12.75">
      <c r="B113" s="635"/>
      <c r="C113" s="35" t="s">
        <v>166</v>
      </c>
      <c r="D113" s="137"/>
      <c r="E113" s="137"/>
    </row>
    <row r="114" spans="2:5" ht="12.75">
      <c r="B114" s="636"/>
      <c r="C114" s="35"/>
      <c r="D114" s="137"/>
      <c r="E114" s="137"/>
    </row>
    <row r="115" spans="2:5" ht="12.75">
      <c r="B115" s="56"/>
      <c r="C115" s="26" t="s">
        <v>162</v>
      </c>
      <c r="D115" s="147">
        <f>D83+D111</f>
        <v>245967.58793606356</v>
      </c>
      <c r="E115" s="137"/>
    </row>
  </sheetData>
  <sheetProtection/>
  <mergeCells count="9">
    <mergeCell ref="D9:F9"/>
    <mergeCell ref="B65:B88"/>
    <mergeCell ref="B11:B33"/>
    <mergeCell ref="B34:B48"/>
    <mergeCell ref="B49:B51"/>
    <mergeCell ref="B89:B92"/>
    <mergeCell ref="B93:B108"/>
    <mergeCell ref="B109:B114"/>
    <mergeCell ref="B9:C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headerFooter alignWithMargins="0">
    <oddFooter>&amp;C&amp;9Le bilan de clôture</oddFooter>
  </headerFooter>
  <rowBreaks count="1" manualBreakCount="1">
    <brk id="55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1">
    <tabColor indexed="46"/>
  </sheetPr>
  <dimension ref="A8:H55"/>
  <sheetViews>
    <sheetView showGridLines="0" workbookViewId="0" topLeftCell="A28">
      <selection activeCell="D9" sqref="D9"/>
    </sheetView>
  </sheetViews>
  <sheetFormatPr defaultColWidth="11.421875" defaultRowHeight="12.75"/>
  <cols>
    <col min="1" max="1" width="25.57421875" style="16" customWidth="1"/>
    <col min="2" max="2" width="15.7109375" style="181" customWidth="1"/>
    <col min="3" max="3" width="27.28125" style="16" customWidth="1"/>
    <col min="4" max="4" width="17.00390625" style="181" customWidth="1"/>
    <col min="5" max="6" width="11.421875" style="6" customWidth="1"/>
    <col min="7" max="7" width="15.57421875" style="6" customWidth="1"/>
    <col min="8" max="8" width="15.421875" style="6" bestFit="1" customWidth="1"/>
    <col min="9" max="16384" width="11.421875" style="6" customWidth="1"/>
  </cols>
  <sheetData>
    <row r="1" ht="12.75"/>
    <row r="2" ht="12.75"/>
    <row r="3" ht="12.75"/>
    <row r="4" ht="12.75"/>
    <row r="5" ht="12.75"/>
    <row r="6" ht="12.75"/>
    <row r="8" spans="1:4" ht="12.75">
      <c r="A8" s="645" t="s">
        <v>128</v>
      </c>
      <c r="B8" s="646"/>
      <c r="C8" s="645" t="s">
        <v>163</v>
      </c>
      <c r="D8" s="646"/>
    </row>
    <row r="9" spans="1:8" ht="12.75">
      <c r="A9" s="46" t="s">
        <v>186</v>
      </c>
      <c r="B9" s="173">
        <f>'Bilan de clôture'!D33</f>
        <v>45000</v>
      </c>
      <c r="C9" s="46" t="s">
        <v>181</v>
      </c>
      <c r="D9" s="173">
        <f>'Bilan de clôture'!D83</f>
        <v>221765.81508165033</v>
      </c>
      <c r="H9" s="384"/>
    </row>
    <row r="10" spans="1:8" ht="12.75">
      <c r="A10" s="35" t="s">
        <v>187</v>
      </c>
      <c r="B10" s="174">
        <f>'Bilan de clôture'!D51</f>
        <v>0</v>
      </c>
      <c r="C10" s="63" t="s">
        <v>182</v>
      </c>
      <c r="D10" s="174">
        <f>'Bilan de clôture'!D92</f>
      </c>
      <c r="H10" s="384"/>
    </row>
    <row r="11" spans="1:8" ht="12.75">
      <c r="A11" s="197" t="s">
        <v>188</v>
      </c>
      <c r="B11" s="198">
        <f>SUM(B9:B10)</f>
        <v>45000</v>
      </c>
      <c r="C11" s="35" t="s">
        <v>183</v>
      </c>
      <c r="D11" s="174">
        <f>dap1+dap2</f>
        <v>11250</v>
      </c>
      <c r="H11" s="384"/>
    </row>
    <row r="12" spans="1:8" ht="12.75">
      <c r="A12" s="46"/>
      <c r="B12" s="175"/>
      <c r="C12" s="47" t="s">
        <v>184</v>
      </c>
      <c r="D12" s="182">
        <f>restantdu</f>
        <v>17451.772854413215</v>
      </c>
      <c r="H12" s="384"/>
    </row>
    <row r="13" spans="1:4" ht="12.75">
      <c r="A13" s="35"/>
      <c r="B13" s="176"/>
      <c r="C13" s="199" t="s">
        <v>185</v>
      </c>
      <c r="D13" s="198">
        <f>SUM(D9)+SUM(D10)+SUM(D11)+SUM(D12)</f>
        <v>250467.58793606356</v>
      </c>
    </row>
    <row r="14" spans="1:4" ht="12.75">
      <c r="A14" s="35" t="s">
        <v>174</v>
      </c>
      <c r="B14" s="174">
        <f>'Bilan de clôture'!D35+'Bilan de clôture'!D37</f>
        <v>11824.2152623247</v>
      </c>
      <c r="D14" s="175"/>
    </row>
    <row r="15" spans="1:4" ht="12.75">
      <c r="A15" s="35" t="s">
        <v>173</v>
      </c>
      <c r="B15" s="174">
        <f>'Bilan de clôture'!D41</f>
        <v>0</v>
      </c>
      <c r="C15" s="47" t="s">
        <v>191</v>
      </c>
      <c r="D15" s="174">
        <f>'Bilan de clôture'!D101</f>
        <v>0</v>
      </c>
    </row>
    <row r="16" spans="1:4" ht="12.75">
      <c r="A16" s="63" t="s">
        <v>175</v>
      </c>
      <c r="B16" s="174">
        <f>'Bilan de clôture'!D49</f>
        <v>0</v>
      </c>
      <c r="C16" s="47" t="s">
        <v>192</v>
      </c>
      <c r="D16" s="174">
        <f>'Bilan de clôture'!D102</f>
        <v>6750</v>
      </c>
    </row>
    <row r="17" spans="1:4" ht="12.75">
      <c r="A17" s="35" t="s">
        <v>176</v>
      </c>
      <c r="B17" s="174"/>
      <c r="C17" s="47" t="s">
        <v>193</v>
      </c>
      <c r="D17" s="174">
        <f>'Bilan de clôture'!D109</f>
        <v>0</v>
      </c>
    </row>
    <row r="18" spans="1:4" ht="12.75">
      <c r="A18" s="44" t="s">
        <v>177</v>
      </c>
      <c r="B18" s="176">
        <f>SUM(B14:B17)</f>
        <v>11824.2152623247</v>
      </c>
      <c r="C18" s="48" t="s">
        <v>194</v>
      </c>
      <c r="D18" s="176">
        <f>SUM(D15)+SUM(D16)+SUM(D17)</f>
        <v>6750</v>
      </c>
    </row>
    <row r="19" spans="1:4" ht="12.75">
      <c r="A19" s="35"/>
      <c r="B19" s="176"/>
      <c r="D19" s="176"/>
    </row>
    <row r="20" spans="1:4" ht="12.75">
      <c r="A20" s="35" t="s">
        <v>178</v>
      </c>
      <c r="B20" s="174">
        <f>SUM('Bilan de clôture'!D45:D47)</f>
        <v>0</v>
      </c>
      <c r="C20" s="47" t="s">
        <v>195</v>
      </c>
      <c r="D20" s="174">
        <f>'Bilan de clôture'!D104</f>
        <v>0</v>
      </c>
    </row>
    <row r="21" spans="1:4" ht="12.75">
      <c r="A21" s="35" t="s">
        <v>179</v>
      </c>
      <c r="B21" s="174">
        <f>'Bilan de clôture'!D42</f>
        <v>0</v>
      </c>
      <c r="C21" s="47" t="s">
        <v>196</v>
      </c>
      <c r="D21" s="174">
        <f>'Bilan de clôture'!D106</f>
        <v>0</v>
      </c>
    </row>
    <row r="22" spans="1:4" ht="12.75">
      <c r="A22" s="44" t="s">
        <v>180</v>
      </c>
      <c r="B22" s="176">
        <f>SUM(B20:B21)</f>
        <v>0</v>
      </c>
      <c r="C22" s="48" t="s">
        <v>197</v>
      </c>
      <c r="D22" s="176">
        <f>SUM(D20)+SUM(D21)</f>
        <v>0</v>
      </c>
    </row>
    <row r="23" spans="1:4" ht="12.75">
      <c r="A23" s="35"/>
      <c r="B23" s="176"/>
      <c r="D23" s="176"/>
    </row>
    <row r="24" spans="1:4" ht="12.75">
      <c r="A24" s="35"/>
      <c r="B24" s="176"/>
      <c r="D24" s="176"/>
    </row>
    <row r="25" spans="1:4" ht="12.75">
      <c r="A25" s="35"/>
      <c r="B25" s="176"/>
      <c r="C25" s="47"/>
      <c r="D25" s="176"/>
    </row>
    <row r="26" spans="1:4" ht="12.75">
      <c r="A26" s="44" t="str">
        <f>IF(banquefin&gt;=0,"Trésorerie Actif","")</f>
        <v>Trésorerie Actif</v>
      </c>
      <c r="B26" s="176">
        <f>IF(banquefin&gt;=0,banquefin,0)</f>
        <v>200393.3726737388</v>
      </c>
      <c r="C26" s="44">
        <f>IF(banquefin&lt;0,"Trésorerie Passif","")</f>
      </c>
      <c r="D26" s="176">
        <f>IF(banquefin&lt;0,-banquefin,0)</f>
        <v>0</v>
      </c>
    </row>
    <row r="27" spans="1:4" ht="12.75">
      <c r="A27" s="49"/>
      <c r="B27" s="177"/>
      <c r="C27" s="47"/>
      <c r="D27" s="177"/>
    </row>
    <row r="28" spans="1:4" ht="12.75">
      <c r="A28" s="197" t="s">
        <v>189</v>
      </c>
      <c r="B28" s="198">
        <f>B18+B22+B26</f>
        <v>212217.5879360635</v>
      </c>
      <c r="C28" s="197" t="s">
        <v>170</v>
      </c>
      <c r="D28" s="198">
        <f>SUM(D15:D17)+SUM(D20:D21)+D26</f>
        <v>6750</v>
      </c>
    </row>
    <row r="29" spans="1:4" ht="12.75">
      <c r="A29" s="35"/>
      <c r="B29" s="176"/>
      <c r="C29" s="35"/>
      <c r="D29" s="183"/>
    </row>
    <row r="30" spans="1:4" ht="12.75">
      <c r="A30" s="26" t="s">
        <v>190</v>
      </c>
      <c r="B30" s="178">
        <f>B11+B28</f>
        <v>257217.5879360635</v>
      </c>
      <c r="C30" s="26" t="s">
        <v>172</v>
      </c>
      <c r="D30" s="178">
        <f>SUM(D13)+SUM(D28)</f>
        <v>257217.58793606356</v>
      </c>
    </row>
    <row r="32" spans="1:3" ht="12.75">
      <c r="A32" s="645" t="s">
        <v>198</v>
      </c>
      <c r="B32" s="646"/>
      <c r="C32" s="50"/>
    </row>
    <row r="33" spans="1:2" ht="12.75">
      <c r="A33" s="51" t="s">
        <v>200</v>
      </c>
      <c r="B33" s="179">
        <f>D13</f>
        <v>250467.58793606356</v>
      </c>
    </row>
    <row r="34" spans="1:2" ht="12.75">
      <c r="A34" s="38" t="s">
        <v>199</v>
      </c>
      <c r="B34" s="180">
        <f>B11</f>
        <v>45000</v>
      </c>
    </row>
    <row r="35" spans="1:2" ht="12.75">
      <c r="A35" s="197" t="s">
        <v>201</v>
      </c>
      <c r="B35" s="198">
        <f>B33-B34</f>
        <v>205467.58793606356</v>
      </c>
    </row>
    <row r="37" spans="1:2" ht="12.75">
      <c r="A37" s="645" t="s">
        <v>202</v>
      </c>
      <c r="B37" s="646"/>
    </row>
    <row r="38" spans="1:2" ht="12.75">
      <c r="A38" s="51" t="s">
        <v>203</v>
      </c>
      <c r="B38" s="179">
        <f>B18</f>
        <v>11824.2152623247</v>
      </c>
    </row>
    <row r="39" spans="1:2" ht="12.75">
      <c r="A39" s="38" t="s">
        <v>204</v>
      </c>
      <c r="B39" s="180">
        <f>D18</f>
        <v>6750</v>
      </c>
    </row>
    <row r="40" spans="1:2" ht="12.75">
      <c r="A40" s="197" t="s">
        <v>205</v>
      </c>
      <c r="B40" s="198">
        <f>B38-B39</f>
        <v>5074.2152623247</v>
      </c>
    </row>
    <row r="42" spans="1:2" ht="12.75">
      <c r="A42" s="645" t="s">
        <v>202</v>
      </c>
      <c r="B42" s="646"/>
    </row>
    <row r="43" spans="1:2" ht="12.75">
      <c r="A43" s="46" t="s">
        <v>206</v>
      </c>
      <c r="B43" s="175">
        <f>B22</f>
        <v>0</v>
      </c>
    </row>
    <row r="44" spans="1:2" ht="12.75">
      <c r="A44" s="35" t="s">
        <v>207</v>
      </c>
      <c r="B44" s="176">
        <f>D22</f>
        <v>0</v>
      </c>
    </row>
    <row r="45" spans="1:2" ht="12.75">
      <c r="A45" s="197" t="s">
        <v>208</v>
      </c>
      <c r="B45" s="198">
        <f>B43-B44</f>
        <v>0</v>
      </c>
    </row>
    <row r="47" spans="1:2" ht="12.75">
      <c r="A47" s="645" t="s">
        <v>209</v>
      </c>
      <c r="B47" s="646"/>
    </row>
    <row r="48" spans="1:2" ht="12.75">
      <c r="A48" s="46" t="s">
        <v>210</v>
      </c>
      <c r="B48" s="175">
        <f>B40</f>
        <v>5074.2152623247</v>
      </c>
    </row>
    <row r="49" spans="1:2" ht="12.75">
      <c r="A49" s="35" t="s">
        <v>211</v>
      </c>
      <c r="B49" s="176">
        <f>B45</f>
        <v>0</v>
      </c>
    </row>
    <row r="50" spans="1:2" ht="12.75">
      <c r="A50" s="197" t="s">
        <v>212</v>
      </c>
      <c r="B50" s="198">
        <f>B48+B49</f>
        <v>5074.2152623247</v>
      </c>
    </row>
    <row r="52" spans="1:2" ht="12.75">
      <c r="A52" s="645" t="s">
        <v>213</v>
      </c>
      <c r="B52" s="646"/>
    </row>
    <row r="53" spans="1:2" ht="12.75">
      <c r="A53" s="35" t="s">
        <v>216</v>
      </c>
      <c r="B53" s="176">
        <f>B35</f>
        <v>205467.58793606356</v>
      </c>
    </row>
    <row r="54" spans="1:2" ht="12.75">
      <c r="A54" s="35" t="s">
        <v>215</v>
      </c>
      <c r="B54" s="176">
        <f>B50</f>
        <v>5074.2152623247</v>
      </c>
    </row>
    <row r="55" spans="1:2" ht="12.75">
      <c r="A55" s="197" t="s">
        <v>214</v>
      </c>
      <c r="B55" s="198">
        <f>B53-B54</f>
        <v>200393.37267373886</v>
      </c>
    </row>
  </sheetData>
  <sheetProtection/>
  <mergeCells count="7">
    <mergeCell ref="A42:B42"/>
    <mergeCell ref="A47:B47"/>
    <mergeCell ref="A52:B52"/>
    <mergeCell ref="C8:D8"/>
    <mergeCell ref="A8:B8"/>
    <mergeCell ref="A32:B32"/>
    <mergeCell ref="A37:B37"/>
  </mergeCells>
  <printOptions/>
  <pageMargins left="0.7874015748031497" right="0.7874015748031497" top="0.3937007874015748" bottom="0.984251968503937" header="0.5118110236220472" footer="0.5118110236220472"/>
  <pageSetup horizontalDpi="300" verticalDpi="300" orientation="portrait" paperSize="9" r:id="rId2"/>
  <headerFooter alignWithMargins="0">
    <oddFooter>&amp;CFR-BFR-TN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2">
    <tabColor indexed="50"/>
  </sheetPr>
  <dimension ref="A10:H59"/>
  <sheetViews>
    <sheetView showGridLines="0" tabSelected="1" workbookViewId="0" topLeftCell="A10">
      <selection activeCell="E20" sqref="E20"/>
    </sheetView>
  </sheetViews>
  <sheetFormatPr defaultColWidth="11.421875" defaultRowHeight="12.75"/>
  <cols>
    <col min="1" max="1" width="11.140625" style="6" customWidth="1"/>
    <col min="2" max="2" width="28.00390625" style="6" customWidth="1"/>
    <col min="3" max="3" width="24.140625" style="6" customWidth="1"/>
    <col min="4" max="5" width="15.57421875" style="275" bestFit="1" customWidth="1"/>
    <col min="6" max="6" width="11.421875" style="275" customWidth="1"/>
    <col min="7" max="7" width="14.57421875" style="275" bestFit="1" customWidth="1"/>
    <col min="8" max="8" width="15.57421875" style="275" bestFit="1" customWidth="1"/>
    <col min="9" max="14" width="11.421875" style="275" customWidth="1"/>
    <col min="15" max="16384" width="11.421875" style="6" customWidth="1"/>
  </cols>
  <sheetData>
    <row r="1" ht="12.75"/>
    <row r="2" ht="12.75"/>
    <row r="3" ht="12.75"/>
    <row r="4" ht="12.75"/>
    <row r="5" ht="12.75"/>
    <row r="6" ht="12.75"/>
    <row r="10" spans="2:8" ht="12.75">
      <c r="B10" s="633" t="s">
        <v>278</v>
      </c>
      <c r="C10" s="634"/>
      <c r="H10" s="409"/>
    </row>
    <row r="11" spans="2:8" ht="12.75">
      <c r="B11" s="64" t="s">
        <v>274</v>
      </c>
      <c r="C11" s="649">
        <f>caprev</f>
        <v>824344.0576569787</v>
      </c>
      <c r="D11" s="410">
        <f>totalachatsmp</f>
        <v>163478.26086956522</v>
      </c>
      <c r="H11" s="409"/>
    </row>
    <row r="12" spans="2:8" ht="12.75">
      <c r="B12" s="64" t="s">
        <v>273</v>
      </c>
      <c r="C12" s="649">
        <f>achatsproduction+(chargesvariablesdiverses*12)</f>
        <v>178000</v>
      </c>
      <c r="F12" s="411" t="s">
        <v>418</v>
      </c>
      <c r="G12" s="410">
        <v>0</v>
      </c>
      <c r="H12" s="410">
        <f>C11</f>
        <v>824344.0576569787</v>
      </c>
    </row>
    <row r="13" spans="2:8" ht="12.75">
      <c r="B13" s="64" t="s">
        <v>275</v>
      </c>
      <c r="C13" s="649">
        <f>C11-C12</f>
        <v>646344.0576569787</v>
      </c>
      <c r="F13" s="411" t="s">
        <v>419</v>
      </c>
      <c r="G13" s="410">
        <v>0</v>
      </c>
      <c r="H13" s="410">
        <f>C13</f>
        <v>646344.0576569787</v>
      </c>
    </row>
    <row r="14" spans="2:8" ht="12.75">
      <c r="B14" s="64" t="s">
        <v>280</v>
      </c>
      <c r="C14" s="65">
        <f>IF(C13=0,0,C13/C11)</f>
        <v>0.7840707428571428</v>
      </c>
      <c r="F14" s="411" t="s">
        <v>420</v>
      </c>
      <c r="G14" s="410">
        <f>C15</f>
        <v>464637.24044634873</v>
      </c>
      <c r="H14" s="410">
        <f>C15</f>
        <v>464637.24044634873</v>
      </c>
    </row>
    <row r="15" spans="2:8" ht="12.75">
      <c r="B15" s="64" t="s">
        <v>276</v>
      </c>
      <c r="C15" s="649">
        <f>charges_fixes</f>
        <v>464637.24044634873</v>
      </c>
      <c r="E15" s="409"/>
      <c r="G15" s="411"/>
      <c r="H15" s="411"/>
    </row>
    <row r="16" spans="2:4" ht="12.75">
      <c r="B16" s="64" t="s">
        <v>277</v>
      </c>
      <c r="C16" s="649">
        <f>IF(C13=0,0,C13-C15)</f>
        <v>181706.81721063</v>
      </c>
      <c r="D16" s="409"/>
    </row>
    <row r="17" spans="2:3" ht="12.75">
      <c r="B17" s="200" t="s">
        <v>279</v>
      </c>
      <c r="C17" s="650">
        <f>IF(C15=0,0,C15/C14)</f>
        <v>592596.069524565</v>
      </c>
    </row>
    <row r="18" spans="2:3" ht="12.75">
      <c r="B18" s="66" t="s">
        <v>281</v>
      </c>
      <c r="C18" s="647">
        <f>IF(C11=0,0,12*(C17/C11))</f>
        <v>8.626437915385365</v>
      </c>
    </row>
    <row r="19" spans="2:3" ht="12.75">
      <c r="B19" s="67" t="s">
        <v>282</v>
      </c>
      <c r="C19" s="648"/>
    </row>
    <row r="20" ht="12.75">
      <c r="H20" s="409"/>
    </row>
    <row r="21" spans="2:8" ht="12.75">
      <c r="B21" s="201" t="s">
        <v>283</v>
      </c>
      <c r="C21" s="651">
        <f>C11-C17</f>
        <v>231747.9881324137</v>
      </c>
      <c r="H21" s="409"/>
    </row>
    <row r="22" ht="12.75">
      <c r="H22" s="409"/>
    </row>
    <row r="23" spans="2:3" ht="12.75">
      <c r="B23" s="201" t="s">
        <v>284</v>
      </c>
      <c r="C23" s="202">
        <f>IF(C21=0,0,C21/C11)</f>
        <v>0.2811301737178863</v>
      </c>
    </row>
    <row r="24" spans="2:3" ht="12.75">
      <c r="B24" s="68"/>
      <c r="C24" s="69"/>
    </row>
    <row r="25" spans="1:6" ht="12.75">
      <c r="A25" s="206"/>
      <c r="B25" s="206"/>
      <c r="C25" s="206"/>
      <c r="D25" s="412"/>
      <c r="E25" s="412"/>
      <c r="F25" s="412"/>
    </row>
    <row r="26" spans="1:6" ht="12.75">
      <c r="A26" s="206"/>
      <c r="B26" s="206"/>
      <c r="C26" s="206"/>
      <c r="D26" s="412"/>
      <c r="E26" s="412"/>
      <c r="F26" s="412"/>
    </row>
    <row r="27" spans="1:6" ht="12.75">
      <c r="A27" s="206"/>
      <c r="B27" s="206"/>
      <c r="C27" s="206"/>
      <c r="D27" s="412"/>
      <c r="E27" s="412"/>
      <c r="F27" s="412"/>
    </row>
    <row r="28" spans="1:6" ht="12.75">
      <c r="A28" s="206"/>
      <c r="B28" s="206"/>
      <c r="C28" s="206"/>
      <c r="D28" s="412"/>
      <c r="E28" s="412"/>
      <c r="F28" s="412"/>
    </row>
    <row r="29" spans="1:6" ht="15">
      <c r="A29" s="206"/>
      <c r="B29" s="206"/>
      <c r="C29" s="207"/>
      <c r="D29" s="413"/>
      <c r="E29" s="414"/>
      <c r="F29" s="412"/>
    </row>
    <row r="30" spans="1:6" ht="12.75">
      <c r="A30" s="206"/>
      <c r="B30" s="206"/>
      <c r="C30" s="206"/>
      <c r="D30" s="412"/>
      <c r="E30" s="412"/>
      <c r="F30" s="412"/>
    </row>
    <row r="31" spans="1:6" ht="12.75">
      <c r="A31" s="206"/>
      <c r="B31" s="206"/>
      <c r="C31" s="206"/>
      <c r="D31" s="412"/>
      <c r="E31" s="412"/>
      <c r="F31" s="412"/>
    </row>
    <row r="32" spans="1:6" ht="12.75">
      <c r="A32" s="206"/>
      <c r="B32" s="206"/>
      <c r="C32" s="206"/>
      <c r="D32" s="412"/>
      <c r="E32" s="412"/>
      <c r="F32" s="412"/>
    </row>
    <row r="33" spans="1:6" ht="12.75">
      <c r="A33" s="206"/>
      <c r="B33" s="206"/>
      <c r="C33" s="206"/>
      <c r="D33" s="412"/>
      <c r="E33" s="412"/>
      <c r="F33" s="412"/>
    </row>
    <row r="34" spans="1:6" ht="12.75">
      <c r="A34" s="206"/>
      <c r="B34" s="206"/>
      <c r="C34" s="206"/>
      <c r="D34" s="412"/>
      <c r="E34" s="412"/>
      <c r="F34" s="412"/>
    </row>
    <row r="35" spans="1:6" ht="12.75">
      <c r="A35" s="206"/>
      <c r="B35" s="206"/>
      <c r="C35" s="206"/>
      <c r="D35" s="412"/>
      <c r="E35" s="412"/>
      <c r="F35" s="412"/>
    </row>
    <row r="36" spans="1:6" ht="12.75">
      <c r="A36" s="206"/>
      <c r="B36" s="206"/>
      <c r="C36" s="206"/>
      <c r="D36" s="412"/>
      <c r="E36" s="412"/>
      <c r="F36" s="412"/>
    </row>
    <row r="37" spans="1:6" ht="12.75">
      <c r="A37" s="206"/>
      <c r="B37" s="206"/>
      <c r="C37" s="206"/>
      <c r="D37" s="412"/>
      <c r="E37" s="412"/>
      <c r="F37" s="412"/>
    </row>
    <row r="38" spans="1:6" ht="12.75">
      <c r="A38" s="206"/>
      <c r="B38" s="206"/>
      <c r="C38" s="206"/>
      <c r="D38" s="412"/>
      <c r="E38" s="412"/>
      <c r="F38" s="412"/>
    </row>
    <row r="39" spans="1:6" ht="12.75">
      <c r="A39" s="206"/>
      <c r="B39" s="206"/>
      <c r="C39" s="206"/>
      <c r="D39" s="412"/>
      <c r="E39" s="412"/>
      <c r="F39" s="412"/>
    </row>
    <row r="40" spans="1:6" ht="12.75">
      <c r="A40" s="206"/>
      <c r="B40" s="206"/>
      <c r="C40" s="206"/>
      <c r="D40" s="412"/>
      <c r="E40" s="412"/>
      <c r="F40" s="412"/>
    </row>
    <row r="41" spans="1:6" ht="12.75">
      <c r="A41" s="206"/>
      <c r="B41" s="206"/>
      <c r="C41" s="206"/>
      <c r="D41" s="412"/>
      <c r="E41" s="412"/>
      <c r="F41" s="412"/>
    </row>
    <row r="42" spans="1:6" ht="12.75">
      <c r="A42" s="206"/>
      <c r="B42" s="206"/>
      <c r="C42" s="206"/>
      <c r="D42" s="412"/>
      <c r="E42" s="412"/>
      <c r="F42" s="412"/>
    </row>
    <row r="43" spans="1:6" ht="12.75">
      <c r="A43" s="206"/>
      <c r="B43" s="206"/>
      <c r="C43" s="206"/>
      <c r="D43" s="412"/>
      <c r="E43" s="412"/>
      <c r="F43" s="412"/>
    </row>
    <row r="44" spans="1:6" ht="12.75">
      <c r="A44" s="206"/>
      <c r="B44" s="206"/>
      <c r="C44" s="206"/>
      <c r="D44" s="412"/>
      <c r="E44" s="412"/>
      <c r="F44" s="412"/>
    </row>
    <row r="45" spans="1:6" ht="12.75">
      <c r="A45" s="206"/>
      <c r="B45" s="206"/>
      <c r="C45" s="206"/>
      <c r="D45" s="412"/>
      <c r="E45" s="412"/>
      <c r="F45" s="412"/>
    </row>
    <row r="46" spans="1:6" ht="12.75">
      <c r="A46" s="206"/>
      <c r="B46" s="206"/>
      <c r="C46" s="206"/>
      <c r="D46" s="412"/>
      <c r="E46" s="412"/>
      <c r="F46" s="412"/>
    </row>
    <row r="47" spans="1:6" ht="12.75">
      <c r="A47" s="206"/>
      <c r="B47" s="206"/>
      <c r="C47" s="206"/>
      <c r="D47" s="412"/>
      <c r="E47" s="412"/>
      <c r="F47" s="412"/>
    </row>
    <row r="48" spans="1:6" ht="12.75">
      <c r="A48" s="206"/>
      <c r="B48" s="206"/>
      <c r="C48" s="206"/>
      <c r="D48" s="412"/>
      <c r="E48" s="412"/>
      <c r="F48" s="412"/>
    </row>
    <row r="49" spans="1:6" ht="12.75">
      <c r="A49" s="206"/>
      <c r="B49" s="206"/>
      <c r="C49" s="206"/>
      <c r="D49" s="412"/>
      <c r="E49" s="412"/>
      <c r="F49" s="412"/>
    </row>
    <row r="50" spans="1:6" ht="12.75">
      <c r="A50" s="206"/>
      <c r="B50" s="206"/>
      <c r="C50" s="206"/>
      <c r="D50" s="412"/>
      <c r="E50" s="412"/>
      <c r="F50" s="412"/>
    </row>
    <row r="51" spans="1:6" ht="12.75">
      <c r="A51" s="206"/>
      <c r="B51" s="206"/>
      <c r="C51" s="206"/>
      <c r="D51" s="412"/>
      <c r="E51" s="412"/>
      <c r="F51" s="412"/>
    </row>
    <row r="52" spans="1:6" ht="12.75">
      <c r="A52" s="206"/>
      <c r="B52" s="206"/>
      <c r="C52" s="206"/>
      <c r="D52" s="412"/>
      <c r="E52" s="412"/>
      <c r="F52" s="412"/>
    </row>
    <row r="53" spans="1:6" ht="12.75">
      <c r="A53" s="206"/>
      <c r="B53" s="206"/>
      <c r="C53" s="206"/>
      <c r="D53" s="412"/>
      <c r="E53" s="412"/>
      <c r="F53" s="412"/>
    </row>
    <row r="54" spans="1:6" ht="12.75">
      <c r="A54" s="206"/>
      <c r="B54" s="206"/>
      <c r="C54" s="206"/>
      <c r="D54" s="412"/>
      <c r="E54" s="412"/>
      <c r="F54" s="412"/>
    </row>
    <row r="55" spans="1:6" ht="12.75">
      <c r="A55" s="206"/>
      <c r="B55" s="206"/>
      <c r="C55" s="206"/>
      <c r="D55" s="412"/>
      <c r="E55" s="412"/>
      <c r="F55" s="412"/>
    </row>
    <row r="56" spans="1:6" ht="12.75">
      <c r="A56" s="206"/>
      <c r="B56" s="206"/>
      <c r="C56" s="206"/>
      <c r="D56" s="412"/>
      <c r="E56" s="412"/>
      <c r="F56" s="412"/>
    </row>
    <row r="57" spans="1:6" ht="12.75">
      <c r="A57" s="206"/>
      <c r="B57" s="206"/>
      <c r="C57" s="206"/>
      <c r="D57" s="412"/>
      <c r="E57" s="412"/>
      <c r="F57" s="412"/>
    </row>
    <row r="58" spans="1:6" ht="12.75">
      <c r="A58" s="206"/>
      <c r="B58" s="206"/>
      <c r="C58" s="206"/>
      <c r="D58" s="412"/>
      <c r="E58" s="412"/>
      <c r="F58" s="412"/>
    </row>
    <row r="59" spans="1:6" ht="12.75">
      <c r="A59" s="206"/>
      <c r="B59" s="206"/>
      <c r="C59" s="206"/>
      <c r="D59" s="412"/>
      <c r="E59" s="412"/>
      <c r="F59" s="412"/>
    </row>
  </sheetData>
  <sheetProtection/>
  <mergeCells count="2">
    <mergeCell ref="B10:C10"/>
    <mergeCell ref="C18:C19"/>
  </mergeCells>
  <printOptions/>
  <pageMargins left="0.7874015748031497" right="0.3937007874015748" top="0.3937007874015748" bottom="0.984251968503937" header="0.5118110236220472" footer="0.5118110236220472"/>
  <pageSetup horizontalDpi="300" verticalDpi="300" orientation="portrait" paperSize="9" r:id="rId2"/>
  <headerFooter alignWithMargins="0">
    <oddFooter>&amp;CLe seuil de rentabilité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51"/>
  </sheetPr>
  <dimension ref="B2:AQ59"/>
  <sheetViews>
    <sheetView showGridLines="0" workbookViewId="0" topLeftCell="A4">
      <selection activeCell="F24" sqref="F24:F26"/>
    </sheetView>
  </sheetViews>
  <sheetFormatPr defaultColWidth="11.421875" defaultRowHeight="12.75"/>
  <cols>
    <col min="1" max="1" width="1.28515625" style="0" customWidth="1"/>
    <col min="5" max="5" width="13.421875" style="0" customWidth="1"/>
    <col min="6" max="6" width="20.00390625" style="0" customWidth="1"/>
    <col min="8" max="8" width="1.7109375" style="0" customWidth="1"/>
    <col min="9" max="10" width="11.421875" style="209" customWidth="1"/>
    <col min="11" max="11" width="15.140625" style="209" customWidth="1"/>
    <col min="12" max="12" width="17.00390625" style="209" customWidth="1"/>
    <col min="13" max="14" width="11.421875" style="209" customWidth="1"/>
  </cols>
  <sheetData>
    <row r="1" ht="12.75"/>
    <row r="2" spans="9:14" ht="12.75">
      <c r="I2" s="208"/>
      <c r="J2" s="208"/>
      <c r="K2" s="208"/>
      <c r="L2" s="208"/>
      <c r="M2" s="208"/>
      <c r="N2" s="208"/>
    </row>
    <row r="3" spans="9:43" ht="12.75">
      <c r="I3" s="208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</row>
    <row r="4" spans="9:43" ht="12.75">
      <c r="I4" s="208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</row>
    <row r="5" spans="9:43" ht="12.75">
      <c r="I5" s="208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</row>
    <row r="6" spans="9:43" ht="12.75">
      <c r="I6" s="208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</row>
    <row r="7" spans="9:43" ht="13.5" thickBot="1">
      <c r="I7" s="208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</row>
    <row r="8" spans="2:43" ht="12.75">
      <c r="B8" s="464" t="s">
        <v>291</v>
      </c>
      <c r="C8" s="465"/>
      <c r="D8" s="465"/>
      <c r="E8" s="465"/>
      <c r="F8" s="446">
        <v>3500000</v>
      </c>
      <c r="G8" s="465" t="s">
        <v>292</v>
      </c>
      <c r="H8" s="470"/>
      <c r="I8" s="208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</row>
    <row r="9" spans="2:43" ht="12.75">
      <c r="B9" s="466"/>
      <c r="C9" s="467"/>
      <c r="D9" s="467"/>
      <c r="E9" s="467"/>
      <c r="F9" s="444"/>
      <c r="G9" s="467"/>
      <c r="H9" s="471"/>
      <c r="I9" s="208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</row>
    <row r="10" spans="2:43" ht="13.5" thickBot="1">
      <c r="B10" s="472"/>
      <c r="C10" s="473"/>
      <c r="D10" s="473"/>
      <c r="E10" s="473"/>
      <c r="F10" s="442"/>
      <c r="G10" s="473"/>
      <c r="H10" s="476"/>
      <c r="I10" s="208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</row>
    <row r="11" spans="2:43" ht="12.75">
      <c r="B11" s="464" t="s">
        <v>293</v>
      </c>
      <c r="C11" s="465"/>
      <c r="D11" s="465"/>
      <c r="E11" s="465"/>
      <c r="F11" s="446">
        <v>2</v>
      </c>
      <c r="G11" s="465" t="s">
        <v>294</v>
      </c>
      <c r="H11" s="470"/>
      <c r="I11" s="208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</row>
    <row r="12" spans="2:43" ht="12.75">
      <c r="B12" s="466"/>
      <c r="C12" s="467"/>
      <c r="D12" s="467"/>
      <c r="E12" s="467"/>
      <c r="F12" s="444"/>
      <c r="G12" s="467"/>
      <c r="H12" s="471"/>
      <c r="I12" s="208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</row>
    <row r="13" spans="2:43" ht="13.5" thickBot="1">
      <c r="B13" s="472"/>
      <c r="C13" s="473"/>
      <c r="D13" s="473"/>
      <c r="E13" s="473"/>
      <c r="F13" s="442"/>
      <c r="G13" s="473"/>
      <c r="H13" s="476"/>
      <c r="I13" s="208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</row>
    <row r="14" spans="2:43" ht="12.75">
      <c r="B14" s="464" t="s">
        <v>295</v>
      </c>
      <c r="C14" s="465"/>
      <c r="D14" s="465"/>
      <c r="E14" s="465"/>
      <c r="F14" s="443">
        <f>F8*F11</f>
        <v>7000000</v>
      </c>
      <c r="G14" s="465" t="s">
        <v>294</v>
      </c>
      <c r="H14" s="470"/>
      <c r="I14" s="208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</row>
    <row r="15" spans="2:43" ht="12.75">
      <c r="B15" s="466"/>
      <c r="C15" s="467"/>
      <c r="D15" s="467"/>
      <c r="E15" s="467"/>
      <c r="F15" s="439"/>
      <c r="G15" s="467"/>
      <c r="H15" s="471"/>
      <c r="I15" s="208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</row>
    <row r="16" spans="2:43" ht="13.5" thickBot="1">
      <c r="B16" s="472"/>
      <c r="C16" s="473"/>
      <c r="D16" s="473"/>
      <c r="E16" s="473"/>
      <c r="F16" s="440"/>
      <c r="G16" s="473"/>
      <c r="H16" s="476"/>
      <c r="I16" s="208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</row>
    <row r="17" spans="2:43" ht="12.75">
      <c r="B17" s="464" t="s">
        <v>436</v>
      </c>
      <c r="C17" s="465"/>
      <c r="D17" s="465"/>
      <c r="E17" s="465"/>
      <c r="F17" s="480">
        <v>2.5</v>
      </c>
      <c r="G17" s="450" t="s">
        <v>296</v>
      </c>
      <c r="H17" s="451"/>
      <c r="I17" s="208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</row>
    <row r="18" spans="2:43" ht="12.75">
      <c r="B18" s="466"/>
      <c r="C18" s="467"/>
      <c r="D18" s="467"/>
      <c r="E18" s="467"/>
      <c r="F18" s="481"/>
      <c r="G18" s="452"/>
      <c r="H18" s="447"/>
      <c r="I18" s="208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</row>
    <row r="19" spans="2:43" ht="13.5" thickBot="1">
      <c r="B19" s="472"/>
      <c r="C19" s="473"/>
      <c r="D19" s="473"/>
      <c r="E19" s="473"/>
      <c r="F19" s="482"/>
      <c r="G19" s="448"/>
      <c r="H19" s="449"/>
      <c r="I19" s="208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</row>
    <row r="20" spans="2:43" ht="12.75">
      <c r="B20" s="464" t="s">
        <v>297</v>
      </c>
      <c r="C20" s="465"/>
      <c r="D20" s="465"/>
      <c r="E20" s="465"/>
      <c r="F20" s="443">
        <f>F14*(F17/100)</f>
        <v>175000</v>
      </c>
      <c r="G20" s="465" t="s">
        <v>294</v>
      </c>
      <c r="H20" s="470"/>
      <c r="I20" s="208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</row>
    <row r="21" spans="2:43" ht="12.75">
      <c r="B21" s="466"/>
      <c r="C21" s="467"/>
      <c r="D21" s="467"/>
      <c r="E21" s="467"/>
      <c r="F21" s="439"/>
      <c r="G21" s="467"/>
      <c r="H21" s="471"/>
      <c r="I21" s="208"/>
      <c r="J21" s="250">
        <f>F20</f>
        <v>175000</v>
      </c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</row>
    <row r="22" spans="2:43" ht="13.5" thickBot="1">
      <c r="B22" s="472"/>
      <c r="C22" s="473"/>
      <c r="D22" s="473"/>
      <c r="E22" s="473"/>
      <c r="F22" s="440"/>
      <c r="G22" s="473"/>
      <c r="H22" s="476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</row>
    <row r="23" spans="6:43" ht="13.5" thickBot="1">
      <c r="F23" s="87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</row>
    <row r="24" spans="2:43" ht="12.75">
      <c r="B24" s="464" t="s">
        <v>437</v>
      </c>
      <c r="C24" s="465"/>
      <c r="D24" s="465"/>
      <c r="E24" s="465"/>
      <c r="F24" s="480">
        <v>8</v>
      </c>
      <c r="G24" s="465" t="s">
        <v>298</v>
      </c>
      <c r="H24" s="470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</row>
    <row r="25" spans="2:43" ht="12.75">
      <c r="B25" s="466"/>
      <c r="C25" s="467"/>
      <c r="D25" s="467"/>
      <c r="E25" s="467"/>
      <c r="F25" s="481"/>
      <c r="G25" s="467"/>
      <c r="H25" s="471"/>
      <c r="J25" s="189">
        <v>2.1</v>
      </c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</row>
    <row r="26" spans="2:43" ht="13.5" thickBot="1">
      <c r="B26" s="472"/>
      <c r="C26" s="473"/>
      <c r="D26" s="473"/>
      <c r="E26" s="473"/>
      <c r="F26" s="482"/>
      <c r="G26" s="473"/>
      <c r="H26" s="476"/>
      <c r="J26" s="189">
        <v>5.5</v>
      </c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</row>
    <row r="27" spans="2:43" ht="12.75">
      <c r="B27" s="464" t="s">
        <v>299</v>
      </c>
      <c r="C27" s="465"/>
      <c r="D27" s="465"/>
      <c r="E27" s="465"/>
      <c r="F27" s="480">
        <v>19.6</v>
      </c>
      <c r="G27" s="450" t="s">
        <v>296</v>
      </c>
      <c r="H27" s="451"/>
      <c r="J27" s="189">
        <v>19.6</v>
      </c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</row>
    <row r="28" spans="2:43" ht="12.75">
      <c r="B28" s="466"/>
      <c r="C28" s="467"/>
      <c r="D28" s="467"/>
      <c r="E28" s="467"/>
      <c r="F28" s="481"/>
      <c r="G28" s="452"/>
      <c r="H28" s="447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</row>
    <row r="29" spans="2:43" ht="13.5" thickBot="1">
      <c r="B29" s="472"/>
      <c r="C29" s="473"/>
      <c r="D29" s="473"/>
      <c r="E29" s="473"/>
      <c r="F29" s="482"/>
      <c r="G29" s="448"/>
      <c r="H29" s="44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</row>
    <row r="30" spans="2:43" ht="12.75">
      <c r="B30" s="464" t="s">
        <v>300</v>
      </c>
      <c r="C30" s="465"/>
      <c r="D30" s="465"/>
      <c r="E30" s="465"/>
      <c r="F30" s="468">
        <f>F24/((F27/100)+1)</f>
        <v>6.688963210702341</v>
      </c>
      <c r="G30" s="465" t="s">
        <v>298</v>
      </c>
      <c r="H30" s="470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</row>
    <row r="31" spans="2:43" ht="12.75">
      <c r="B31" s="466"/>
      <c r="C31" s="467"/>
      <c r="D31" s="467"/>
      <c r="E31" s="467"/>
      <c r="F31" s="469"/>
      <c r="G31" s="467"/>
      <c r="H31" s="471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</row>
    <row r="32" spans="2:43" ht="13.5" thickBot="1">
      <c r="B32" s="472"/>
      <c r="C32" s="473"/>
      <c r="D32" s="473"/>
      <c r="E32" s="473"/>
      <c r="F32" s="445"/>
      <c r="G32" s="473"/>
      <c r="H32" s="476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</row>
    <row r="33" spans="2:43" s="77" customFormat="1" ht="12.75">
      <c r="B33" s="464" t="s">
        <v>301</v>
      </c>
      <c r="C33" s="465"/>
      <c r="D33" s="465"/>
      <c r="E33" s="465"/>
      <c r="F33" s="480">
        <v>42</v>
      </c>
      <c r="G33" s="450" t="s">
        <v>296</v>
      </c>
      <c r="H33" s="451"/>
      <c r="I33" s="230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</row>
    <row r="34" spans="2:43" s="77" customFormat="1" ht="12.75">
      <c r="B34" s="466"/>
      <c r="C34" s="467"/>
      <c r="D34" s="467"/>
      <c r="E34" s="467"/>
      <c r="F34" s="481"/>
      <c r="G34" s="452"/>
      <c r="H34" s="447"/>
      <c r="I34" s="230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</row>
    <row r="35" spans="2:43" s="77" customFormat="1" ht="13.5" thickBot="1">
      <c r="B35" s="472"/>
      <c r="C35" s="473"/>
      <c r="D35" s="473"/>
      <c r="E35" s="473"/>
      <c r="F35" s="482"/>
      <c r="G35" s="448"/>
      <c r="H35" s="449"/>
      <c r="I35" s="230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</row>
    <row r="36" spans="2:43" ht="12.75">
      <c r="B36" s="464" t="s">
        <v>438</v>
      </c>
      <c r="C36" s="465"/>
      <c r="D36" s="465"/>
      <c r="E36" s="465"/>
      <c r="F36" s="468">
        <f>F30/((F33/100)+1)</f>
        <v>4.710537472325592</v>
      </c>
      <c r="G36" s="465" t="s">
        <v>298</v>
      </c>
      <c r="H36" s="470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</row>
    <row r="37" spans="2:43" ht="12.75">
      <c r="B37" s="466"/>
      <c r="C37" s="467"/>
      <c r="D37" s="467"/>
      <c r="E37" s="467"/>
      <c r="F37" s="469"/>
      <c r="G37" s="467"/>
      <c r="H37" s="471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</row>
    <row r="38" spans="2:43" ht="13.5" thickBot="1">
      <c r="B38" s="472"/>
      <c r="C38" s="473"/>
      <c r="D38" s="473"/>
      <c r="E38" s="473"/>
      <c r="F38" s="445"/>
      <c r="G38" s="473"/>
      <c r="H38" s="476"/>
      <c r="J38" s="190"/>
      <c r="K38" s="190"/>
      <c r="L38" s="190"/>
      <c r="M38" s="190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2:43" ht="12.75">
      <c r="B39" s="464" t="s">
        <v>302</v>
      </c>
      <c r="C39" s="465"/>
      <c r="D39" s="465"/>
      <c r="E39" s="465"/>
      <c r="F39" s="477">
        <f>F36*F20</f>
        <v>824344.0576569787</v>
      </c>
      <c r="G39" s="465" t="s">
        <v>298</v>
      </c>
      <c r="H39" s="470"/>
      <c r="J39" s="190"/>
      <c r="K39" s="190"/>
      <c r="L39" s="190"/>
      <c r="M39" s="190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</row>
    <row r="40" spans="2:43" ht="12.75">
      <c r="B40" s="466"/>
      <c r="C40" s="467"/>
      <c r="D40" s="467"/>
      <c r="E40" s="467"/>
      <c r="F40" s="478"/>
      <c r="G40" s="467"/>
      <c r="H40" s="471"/>
      <c r="J40" s="190"/>
      <c r="K40" s="249" t="s">
        <v>381</v>
      </c>
      <c r="L40" s="249" t="s">
        <v>390</v>
      </c>
      <c r="M40" s="190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</row>
    <row r="41" spans="2:43" ht="13.5" thickBot="1">
      <c r="B41" s="472"/>
      <c r="C41" s="473"/>
      <c r="D41" s="473"/>
      <c r="E41" s="473"/>
      <c r="F41" s="479"/>
      <c r="G41" s="473"/>
      <c r="H41" s="476"/>
      <c r="J41" s="190"/>
      <c r="K41" s="193">
        <f>F39</f>
        <v>824344.0576569787</v>
      </c>
      <c r="L41" s="251">
        <f>K41/production</f>
        <v>4.710537472325592</v>
      </c>
      <c r="M41" s="190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</row>
    <row r="42" spans="6:43" ht="13.5" thickBot="1">
      <c r="F42" s="87"/>
      <c r="J42" s="190"/>
      <c r="K42" s="190"/>
      <c r="L42" s="190"/>
      <c r="M42" s="190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</row>
    <row r="43" spans="2:43" ht="12.75">
      <c r="B43" s="464" t="s">
        <v>303</v>
      </c>
      <c r="C43" s="465"/>
      <c r="D43" s="465"/>
      <c r="E43" s="465"/>
      <c r="F43" s="480">
        <v>5</v>
      </c>
      <c r="G43" s="450" t="s">
        <v>296</v>
      </c>
      <c r="H43" s="451"/>
      <c r="J43" s="190"/>
      <c r="K43" s="190" t="s">
        <v>396</v>
      </c>
      <c r="L43" s="193">
        <f>F46</f>
        <v>41217.20288284894</v>
      </c>
      <c r="M43" s="190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</row>
    <row r="44" spans="2:43" ht="12.75">
      <c r="B44" s="466"/>
      <c r="C44" s="467"/>
      <c r="D44" s="467"/>
      <c r="E44" s="467"/>
      <c r="F44" s="481"/>
      <c r="G44" s="452"/>
      <c r="H44" s="447"/>
      <c r="J44" s="190"/>
      <c r="K44" s="190"/>
      <c r="L44" s="190"/>
      <c r="M44" s="190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</row>
    <row r="45" spans="2:43" ht="13.5" thickBot="1">
      <c r="B45" s="472"/>
      <c r="C45" s="473"/>
      <c r="D45" s="473"/>
      <c r="E45" s="473"/>
      <c r="F45" s="482"/>
      <c r="G45" s="448"/>
      <c r="H45" s="449"/>
      <c r="J45" s="190"/>
      <c r="K45" s="190" t="s">
        <v>391</v>
      </c>
      <c r="L45" s="190">
        <f>F49</f>
        <v>60</v>
      </c>
      <c r="M45" s="190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</row>
    <row r="46" spans="2:43" ht="12.75" customHeight="1">
      <c r="B46" s="464" t="s">
        <v>304</v>
      </c>
      <c r="C46" s="465"/>
      <c r="D46" s="465"/>
      <c r="E46" s="465"/>
      <c r="F46" s="468">
        <f>F39*(F43/100)</f>
        <v>41217.20288284894</v>
      </c>
      <c r="G46" s="465" t="s">
        <v>298</v>
      </c>
      <c r="H46" s="470"/>
      <c r="J46" s="190"/>
      <c r="K46" s="190"/>
      <c r="L46" s="190"/>
      <c r="M46" s="190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</row>
    <row r="47" spans="2:43" ht="12.75" customHeight="1">
      <c r="B47" s="466"/>
      <c r="C47" s="467"/>
      <c r="D47" s="467"/>
      <c r="E47" s="467"/>
      <c r="F47" s="469"/>
      <c r="G47" s="467"/>
      <c r="H47" s="471"/>
      <c r="J47" s="190"/>
      <c r="K47" s="249" t="s">
        <v>334</v>
      </c>
      <c r="L47" s="193" t="s">
        <v>335</v>
      </c>
      <c r="M47" s="190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</row>
    <row r="48" spans="2:43" ht="13.5" customHeight="1" thickBot="1">
      <c r="B48" s="466"/>
      <c r="C48" s="467"/>
      <c r="D48" s="467"/>
      <c r="E48" s="467"/>
      <c r="F48" s="469"/>
      <c r="G48" s="467"/>
      <c r="H48" s="471"/>
      <c r="J48" s="190"/>
      <c r="K48" s="249">
        <v>30</v>
      </c>
      <c r="L48" s="193">
        <f>IF(F49=30,F46*0.7,"")</f>
      </c>
      <c r="M48" s="190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</row>
    <row r="49" spans="2:43" ht="12.75">
      <c r="B49" s="464" t="s">
        <v>441</v>
      </c>
      <c r="C49" s="465"/>
      <c r="D49" s="465"/>
      <c r="E49" s="465"/>
      <c r="F49" s="474">
        <v>60</v>
      </c>
      <c r="G49" s="465" t="s">
        <v>317</v>
      </c>
      <c r="H49" s="470"/>
      <c r="J49" s="190"/>
      <c r="K49" s="249">
        <v>60</v>
      </c>
      <c r="L49" s="193">
        <f>IF(F49=60,F46*0.7,"")</f>
        <v>28852.042017994256</v>
      </c>
      <c r="M49" s="190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</row>
    <row r="50" spans="2:43" ht="13.5" thickBot="1">
      <c r="B50" s="472"/>
      <c r="C50" s="473"/>
      <c r="D50" s="473"/>
      <c r="E50" s="473"/>
      <c r="F50" s="475"/>
      <c r="G50" s="473"/>
      <c r="H50" s="476"/>
      <c r="J50" s="190"/>
      <c r="K50" s="249">
        <v>90</v>
      </c>
      <c r="L50" s="193">
        <f>IF(F49=90,F46*0.7,"")</f>
      </c>
      <c r="M50" s="190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</row>
    <row r="51" spans="10:43" ht="12.75">
      <c r="J51" s="190"/>
      <c r="K51" s="190"/>
      <c r="L51" s="190"/>
      <c r="M51" s="190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</row>
    <row r="52" spans="10:43" ht="12.75">
      <c r="J52" s="190"/>
      <c r="K52" s="190"/>
      <c r="L52" s="190"/>
      <c r="M52" s="190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</row>
    <row r="53" spans="10:43" ht="12.75"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</row>
    <row r="54" spans="10:43" ht="12.75"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</row>
    <row r="55" spans="10:43" ht="12.75"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</row>
    <row r="56" spans="10:43" ht="12.75"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</row>
    <row r="57" spans="10:43" ht="12.75"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</row>
    <row r="58" spans="10:43" ht="12.75"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</row>
    <row r="59" spans="10:43" ht="12.75"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</row>
  </sheetData>
  <sheetProtection password="B702" sheet="1" objects="1" scenarios="1" selectLockedCells="1"/>
  <mergeCells count="42">
    <mergeCell ref="B24:E26"/>
    <mergeCell ref="G30:H32"/>
    <mergeCell ref="G33:H35"/>
    <mergeCell ref="F24:F26"/>
    <mergeCell ref="F27:F29"/>
    <mergeCell ref="F30:F32"/>
    <mergeCell ref="F8:F10"/>
    <mergeCell ref="F11:F13"/>
    <mergeCell ref="F14:F16"/>
    <mergeCell ref="B20:E22"/>
    <mergeCell ref="F17:F19"/>
    <mergeCell ref="F20:F22"/>
    <mergeCell ref="B8:E10"/>
    <mergeCell ref="B11:E13"/>
    <mergeCell ref="B14:E16"/>
    <mergeCell ref="B17:E19"/>
    <mergeCell ref="G8:H10"/>
    <mergeCell ref="G11:H13"/>
    <mergeCell ref="G14:H16"/>
    <mergeCell ref="G17:H19"/>
    <mergeCell ref="G20:H22"/>
    <mergeCell ref="B36:E38"/>
    <mergeCell ref="F36:F38"/>
    <mergeCell ref="G36:H38"/>
    <mergeCell ref="B27:E29"/>
    <mergeCell ref="B30:E32"/>
    <mergeCell ref="B33:E35"/>
    <mergeCell ref="F33:F35"/>
    <mergeCell ref="G24:H26"/>
    <mergeCell ref="G27:H29"/>
    <mergeCell ref="B39:E41"/>
    <mergeCell ref="F39:F41"/>
    <mergeCell ref="G39:H41"/>
    <mergeCell ref="B43:E45"/>
    <mergeCell ref="F43:F45"/>
    <mergeCell ref="G43:H45"/>
    <mergeCell ref="B46:E48"/>
    <mergeCell ref="F46:F48"/>
    <mergeCell ref="G46:H48"/>
    <mergeCell ref="B49:E50"/>
    <mergeCell ref="F49:F50"/>
    <mergeCell ref="G49:H50"/>
  </mergeCells>
  <dataValidations count="2">
    <dataValidation type="list" allowBlank="1" showInputMessage="1" showErrorMessage="1" sqref="F49:F50">
      <formula1>$K$48:$K$50</formula1>
    </dataValidation>
    <dataValidation type="list" allowBlank="1" showInputMessage="1" showErrorMessage="1" sqref="F27:F29">
      <formula1>$J$25:$J$27</formula1>
    </dataValidation>
  </dataValidations>
  <printOptions horizontalCentered="1"/>
  <pageMargins left="0.7874015748031497" right="0.7874015748031497" top="0.3937007874015748" bottom="0.7874015748031497" header="0.5118110236220472" footer="0.5118110236220472"/>
  <pageSetup horizontalDpi="300" verticalDpi="300" orientation="portrait" paperSize="9" r:id="rId4"/>
  <headerFooter alignWithMargins="0">
    <oddFooter>&amp;CChiffre d'affaires prévisionnel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42"/>
  </sheetPr>
  <dimension ref="B2:AR95"/>
  <sheetViews>
    <sheetView showGridLines="0" workbookViewId="0" topLeftCell="A7">
      <selection activeCell="D15" sqref="D15"/>
    </sheetView>
  </sheetViews>
  <sheetFormatPr defaultColWidth="11.421875" defaultRowHeight="12.75"/>
  <cols>
    <col min="1" max="1" width="4.7109375" style="0" customWidth="1"/>
    <col min="2" max="2" width="44.140625" style="80" customWidth="1"/>
    <col min="3" max="3" width="15.7109375" style="3" customWidth="1"/>
    <col min="4" max="4" width="15.7109375" style="80" customWidth="1"/>
    <col min="5" max="5" width="5.140625" style="84" customWidth="1"/>
    <col min="6" max="6" width="5.57421875" style="80" customWidth="1"/>
    <col min="7" max="7" width="7.421875" style="3" customWidth="1"/>
    <col min="8" max="9" width="15.7109375" style="80" customWidth="1"/>
    <col min="10" max="10" width="11.00390625" style="80" customWidth="1"/>
    <col min="11" max="12" width="16.00390625" style="80" customWidth="1"/>
    <col min="13" max="13" width="11.00390625" style="80" customWidth="1"/>
    <col min="14" max="15" width="16.00390625" style="0" customWidth="1"/>
    <col min="16" max="16" width="4.57421875" style="0" customWidth="1"/>
    <col min="17" max="17" width="4.8515625" style="0" customWidth="1"/>
    <col min="19" max="19" width="11.8515625" style="0" bestFit="1" customWidth="1"/>
    <col min="20" max="20" width="11.57421875" style="0" bestFit="1" customWidth="1"/>
    <col min="21" max="21" width="12.7109375" style="0" bestFit="1" customWidth="1"/>
  </cols>
  <sheetData>
    <row r="1" ht="12.75"/>
    <row r="2" spans="10:44" ht="12.75">
      <c r="J2" s="252"/>
      <c r="K2" s="252"/>
      <c r="L2" s="252"/>
      <c r="M2" s="252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</row>
    <row r="3" spans="10:44" ht="12.75">
      <c r="J3" s="252"/>
      <c r="K3" s="252"/>
      <c r="L3" s="252"/>
      <c r="M3" s="252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</row>
    <row r="4" spans="10:44" ht="12.75">
      <c r="J4" s="252"/>
      <c r="K4" s="191"/>
      <c r="L4" s="191"/>
      <c r="M4" s="191"/>
      <c r="N4" s="192"/>
      <c r="O4" s="192"/>
      <c r="P4" s="192"/>
      <c r="Q4" s="192"/>
      <c r="R4" s="192"/>
      <c r="S4" s="192"/>
      <c r="T4" s="192"/>
      <c r="U4" s="192"/>
      <c r="V4" s="192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</row>
    <row r="5" spans="10:44" ht="12.75">
      <c r="J5" s="252"/>
      <c r="K5" s="191"/>
      <c r="L5" s="191"/>
      <c r="M5" s="191"/>
      <c r="N5" s="192"/>
      <c r="O5" s="192"/>
      <c r="P5" s="192"/>
      <c r="Q5" s="192"/>
      <c r="R5" s="192"/>
      <c r="S5" s="192"/>
      <c r="T5" s="192"/>
      <c r="U5" s="192"/>
      <c r="V5" s="192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</row>
    <row r="6" spans="10:44" ht="12.75">
      <c r="J6" s="191"/>
      <c r="K6" s="191"/>
      <c r="L6" s="191"/>
      <c r="M6" s="191"/>
      <c r="N6" s="192"/>
      <c r="O6" s="192"/>
      <c r="P6" s="192"/>
      <c r="Q6" s="192"/>
      <c r="R6" s="192"/>
      <c r="S6" s="192"/>
      <c r="T6" s="192"/>
      <c r="U6" s="192"/>
      <c r="V6" s="192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</row>
    <row r="7" spans="10:44" ht="12.75">
      <c r="J7" s="191"/>
      <c r="K7" s="191"/>
      <c r="L7" s="191"/>
      <c r="M7" s="191"/>
      <c r="N7" s="192"/>
      <c r="O7" s="192"/>
      <c r="P7" s="192"/>
      <c r="Q7" s="192"/>
      <c r="R7" s="192"/>
      <c r="S7" s="192"/>
      <c r="T7" s="192"/>
      <c r="U7" s="192"/>
      <c r="V7" s="192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</row>
    <row r="8" spans="10:44" ht="12.75">
      <c r="J8" s="191"/>
      <c r="K8" s="191" t="s">
        <v>326</v>
      </c>
      <c r="L8" s="191"/>
      <c r="M8" s="191"/>
      <c r="N8" s="441" t="s">
        <v>237</v>
      </c>
      <c r="O8" s="441"/>
      <c r="P8" s="192"/>
      <c r="Q8" s="192"/>
      <c r="R8" s="192"/>
      <c r="S8" s="192"/>
      <c r="T8" s="192"/>
      <c r="U8" s="192"/>
      <c r="V8" s="192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</row>
    <row r="9" spans="2:44" ht="12.75">
      <c r="B9" s="506" t="s">
        <v>258</v>
      </c>
      <c r="C9" s="506" t="s">
        <v>305</v>
      </c>
      <c r="D9" s="506" t="s">
        <v>310</v>
      </c>
      <c r="E9" s="511" t="s">
        <v>315</v>
      </c>
      <c r="F9" s="512"/>
      <c r="G9" s="79" t="s">
        <v>312</v>
      </c>
      <c r="H9" s="506" t="s">
        <v>237</v>
      </c>
      <c r="I9" s="81"/>
      <c r="J9" s="254"/>
      <c r="K9" s="491" t="s">
        <v>307</v>
      </c>
      <c r="L9" s="491" t="s">
        <v>306</v>
      </c>
      <c r="M9" s="254"/>
      <c r="N9" s="508" t="s">
        <v>307</v>
      </c>
      <c r="O9" s="508" t="s">
        <v>306</v>
      </c>
      <c r="P9" s="192" t="s">
        <v>313</v>
      </c>
      <c r="Q9" s="192" t="s">
        <v>317</v>
      </c>
      <c r="R9" s="192"/>
      <c r="S9" s="255" t="s">
        <v>321</v>
      </c>
      <c r="T9" s="255" t="s">
        <v>321</v>
      </c>
      <c r="U9" s="255" t="s">
        <v>321</v>
      </c>
      <c r="V9" s="192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</row>
    <row r="10" spans="2:44" ht="12.75">
      <c r="B10" s="507"/>
      <c r="C10" s="507"/>
      <c r="D10" s="507"/>
      <c r="E10" s="509" t="s">
        <v>314</v>
      </c>
      <c r="F10" s="510"/>
      <c r="G10" s="83" t="s">
        <v>311</v>
      </c>
      <c r="H10" s="507"/>
      <c r="I10" s="81"/>
      <c r="J10" s="254"/>
      <c r="K10" s="491"/>
      <c r="L10" s="491"/>
      <c r="M10" s="254"/>
      <c r="N10" s="508"/>
      <c r="O10" s="508"/>
      <c r="P10" s="192" t="s">
        <v>316</v>
      </c>
      <c r="Q10" s="192">
        <v>30</v>
      </c>
      <c r="R10" s="192"/>
      <c r="S10" s="255" t="s">
        <v>318</v>
      </c>
      <c r="T10" s="255" t="s">
        <v>319</v>
      </c>
      <c r="U10" s="255" t="s">
        <v>320</v>
      </c>
      <c r="V10" s="192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</row>
    <row r="11" spans="2:44" ht="12.75">
      <c r="B11" s="276" t="s">
        <v>442</v>
      </c>
      <c r="C11" s="277" t="s">
        <v>309</v>
      </c>
      <c r="D11" s="278">
        <v>10000</v>
      </c>
      <c r="E11" s="294">
        <v>60</v>
      </c>
      <c r="F11" s="295" t="str">
        <f>IF(E11="","","jours")</f>
        <v>jours</v>
      </c>
      <c r="G11" s="296">
        <v>4</v>
      </c>
      <c r="H11" s="297">
        <f>IF(G11="","",D11/G11)</f>
        <v>2500</v>
      </c>
      <c r="I11" s="82"/>
      <c r="J11" s="256"/>
      <c r="K11" s="257">
        <f>IF(C11="Corporelle",D11,"")</f>
        <v>10000</v>
      </c>
      <c r="L11" s="257">
        <f>IF(C11="Incorporelle",D11,"")</f>
      </c>
      <c r="M11" s="256"/>
      <c r="N11" s="257">
        <f>IF(C11="Corporelle",H11,"")</f>
        <v>2500</v>
      </c>
      <c r="O11" s="257">
        <f>IF(C11="Incorporelle",H11,"")</f>
      </c>
      <c r="P11" s="192" t="s">
        <v>309</v>
      </c>
      <c r="Q11" s="192">
        <v>60</v>
      </c>
      <c r="R11" s="192"/>
      <c r="S11" s="258">
        <f>IF(E11=30,D11,"")</f>
      </c>
      <c r="T11" s="258">
        <f>IF(E11=60,D11,"")</f>
        <v>10000</v>
      </c>
      <c r="U11" s="258">
        <f>IF(E11=90,D11,"")</f>
      </c>
      <c r="V11" s="192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</row>
    <row r="12" spans="2:44" ht="12.75">
      <c r="B12" s="279" t="s">
        <v>443</v>
      </c>
      <c r="C12" s="280" t="s">
        <v>309</v>
      </c>
      <c r="D12" s="281">
        <v>10000</v>
      </c>
      <c r="E12" s="298">
        <v>60</v>
      </c>
      <c r="F12" s="299" t="str">
        <f aca="true" t="shared" si="0" ref="F12:F30">IF(E12="","","jours")</f>
        <v>jours</v>
      </c>
      <c r="G12" s="300">
        <v>4</v>
      </c>
      <c r="H12" s="301">
        <f aca="true" t="shared" si="1" ref="H12:H30">IF(G12="","",D12/G12)</f>
        <v>2500</v>
      </c>
      <c r="I12" s="82"/>
      <c r="J12" s="256"/>
      <c r="K12" s="257">
        <f aca="true" t="shared" si="2" ref="K12:K30">IF(C12="Corporelle",D12,"")</f>
        <v>10000</v>
      </c>
      <c r="L12" s="257">
        <f aca="true" t="shared" si="3" ref="L12:L30">IF(C12="Incorporelle",D12,"")</f>
      </c>
      <c r="M12" s="256"/>
      <c r="N12" s="257">
        <f aca="true" t="shared" si="4" ref="N12:N30">IF(C12="Corporelle",H12,"")</f>
        <v>2500</v>
      </c>
      <c r="O12" s="257">
        <f aca="true" t="shared" si="5" ref="O12:O30">IF(C12="Incorporelle",H12,"")</f>
      </c>
      <c r="P12" s="192" t="s">
        <v>308</v>
      </c>
      <c r="Q12" s="192">
        <v>90</v>
      </c>
      <c r="R12" s="192"/>
      <c r="S12" s="258">
        <f aca="true" t="shared" si="6" ref="S12:S30">IF(E12=30,D12,"")</f>
      </c>
      <c r="T12" s="258">
        <f aca="true" t="shared" si="7" ref="T12:T30">IF(E12=60,D12,"")</f>
        <v>10000</v>
      </c>
      <c r="U12" s="258">
        <f aca="true" t="shared" si="8" ref="U12:U30">IF(E12=90,D12,"")</f>
      </c>
      <c r="V12" s="192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</row>
    <row r="13" spans="2:44" ht="12.75">
      <c r="B13" s="282" t="s">
        <v>444</v>
      </c>
      <c r="C13" s="283" t="s">
        <v>309</v>
      </c>
      <c r="D13" s="284">
        <v>15000</v>
      </c>
      <c r="E13" s="302">
        <v>60</v>
      </c>
      <c r="F13" s="303" t="str">
        <f t="shared" si="0"/>
        <v>jours</v>
      </c>
      <c r="G13" s="304">
        <v>4</v>
      </c>
      <c r="H13" s="305">
        <f t="shared" si="1"/>
        <v>3750</v>
      </c>
      <c r="I13" s="82"/>
      <c r="J13" s="256"/>
      <c r="K13" s="257">
        <f t="shared" si="2"/>
        <v>15000</v>
      </c>
      <c r="L13" s="257">
        <f t="shared" si="3"/>
      </c>
      <c r="M13" s="256"/>
      <c r="N13" s="257">
        <f t="shared" si="4"/>
        <v>3750</v>
      </c>
      <c r="O13" s="257">
        <f t="shared" si="5"/>
      </c>
      <c r="P13" s="192"/>
      <c r="Q13" s="192"/>
      <c r="R13" s="192"/>
      <c r="S13" s="258">
        <f t="shared" si="6"/>
      </c>
      <c r="T13" s="258">
        <f t="shared" si="7"/>
        <v>15000</v>
      </c>
      <c r="U13" s="258">
        <f t="shared" si="8"/>
      </c>
      <c r="V13" s="192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</row>
    <row r="14" spans="2:44" ht="12.75">
      <c r="B14" s="279" t="s">
        <v>445</v>
      </c>
      <c r="C14" s="280" t="s">
        <v>309</v>
      </c>
      <c r="D14" s="281">
        <v>10000</v>
      </c>
      <c r="E14" s="298">
        <v>60</v>
      </c>
      <c r="F14" s="299" t="str">
        <f t="shared" si="0"/>
        <v>jours</v>
      </c>
      <c r="G14" s="300">
        <v>4</v>
      </c>
      <c r="H14" s="301">
        <f t="shared" si="1"/>
        <v>2500</v>
      </c>
      <c r="I14" s="82"/>
      <c r="J14" s="256"/>
      <c r="K14" s="257">
        <f t="shared" si="2"/>
        <v>10000</v>
      </c>
      <c r="L14" s="257">
        <f t="shared" si="3"/>
      </c>
      <c r="M14" s="256"/>
      <c r="N14" s="257">
        <f t="shared" si="4"/>
        <v>2500</v>
      </c>
      <c r="O14" s="257">
        <f t="shared" si="5"/>
      </c>
      <c r="P14" s="192"/>
      <c r="Q14" s="192"/>
      <c r="R14" s="192"/>
      <c r="S14" s="258">
        <f t="shared" si="6"/>
      </c>
      <c r="T14" s="258">
        <f t="shared" si="7"/>
        <v>10000</v>
      </c>
      <c r="U14" s="258">
        <f t="shared" si="8"/>
      </c>
      <c r="V14" s="192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</row>
    <row r="15" spans="2:44" ht="12.75">
      <c r="B15" s="282"/>
      <c r="C15" s="283"/>
      <c r="D15" s="284"/>
      <c r="E15" s="302"/>
      <c r="F15" s="303"/>
      <c r="G15" s="304"/>
      <c r="H15" s="305">
        <f t="shared" si="1"/>
      </c>
      <c r="I15" s="82"/>
      <c r="J15" s="256"/>
      <c r="K15" s="257">
        <f t="shared" si="2"/>
      </c>
      <c r="L15" s="257">
        <f t="shared" si="3"/>
      </c>
      <c r="M15" s="256"/>
      <c r="N15" s="257">
        <f t="shared" si="4"/>
      </c>
      <c r="O15" s="257">
        <f t="shared" si="5"/>
      </c>
      <c r="P15" s="192"/>
      <c r="Q15" s="192"/>
      <c r="R15" s="192"/>
      <c r="S15" s="258">
        <f t="shared" si="6"/>
      </c>
      <c r="T15" s="258">
        <f t="shared" si="7"/>
      </c>
      <c r="U15" s="258">
        <f t="shared" si="8"/>
      </c>
      <c r="V15" s="192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</row>
    <row r="16" spans="2:44" ht="12.75">
      <c r="B16" s="279"/>
      <c r="C16" s="280"/>
      <c r="D16" s="281"/>
      <c r="E16" s="298"/>
      <c r="F16" s="299">
        <f t="shared" si="0"/>
      </c>
      <c r="G16" s="300"/>
      <c r="H16" s="301">
        <f t="shared" si="1"/>
      </c>
      <c r="I16" s="82"/>
      <c r="J16" s="256"/>
      <c r="K16" s="257">
        <f t="shared" si="2"/>
      </c>
      <c r="L16" s="257">
        <f t="shared" si="3"/>
      </c>
      <c r="M16" s="256"/>
      <c r="N16" s="257">
        <f t="shared" si="4"/>
      </c>
      <c r="O16" s="257">
        <f t="shared" si="5"/>
      </c>
      <c r="P16" s="192"/>
      <c r="Q16" s="192"/>
      <c r="R16" s="192"/>
      <c r="S16" s="258">
        <f t="shared" si="6"/>
      </c>
      <c r="T16" s="258">
        <f t="shared" si="7"/>
      </c>
      <c r="U16" s="258">
        <f t="shared" si="8"/>
      </c>
      <c r="V16" s="192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</row>
    <row r="17" spans="2:44" ht="12.75">
      <c r="B17" s="282"/>
      <c r="C17" s="283"/>
      <c r="D17" s="284"/>
      <c r="E17" s="302"/>
      <c r="F17" s="303">
        <f t="shared" si="0"/>
      </c>
      <c r="G17" s="304"/>
      <c r="H17" s="305">
        <f t="shared" si="1"/>
      </c>
      <c r="I17" s="82"/>
      <c r="J17" s="256"/>
      <c r="K17" s="257">
        <f t="shared" si="2"/>
      </c>
      <c r="L17" s="257">
        <f t="shared" si="3"/>
      </c>
      <c r="M17" s="256"/>
      <c r="N17" s="257">
        <f t="shared" si="4"/>
      </c>
      <c r="O17" s="257">
        <f t="shared" si="5"/>
      </c>
      <c r="P17" s="192"/>
      <c r="Q17" s="192"/>
      <c r="R17" s="192"/>
      <c r="S17" s="258">
        <f t="shared" si="6"/>
      </c>
      <c r="T17" s="258">
        <f t="shared" si="7"/>
      </c>
      <c r="U17" s="258">
        <f t="shared" si="8"/>
      </c>
      <c r="V17" s="192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</row>
    <row r="18" spans="2:44" ht="12.75">
      <c r="B18" s="279"/>
      <c r="C18" s="280"/>
      <c r="D18" s="281"/>
      <c r="E18" s="298"/>
      <c r="F18" s="299">
        <f t="shared" si="0"/>
      </c>
      <c r="G18" s="300"/>
      <c r="H18" s="301">
        <f t="shared" si="1"/>
      </c>
      <c r="I18" s="82"/>
      <c r="J18" s="256"/>
      <c r="K18" s="257">
        <f t="shared" si="2"/>
      </c>
      <c r="L18" s="257">
        <f t="shared" si="3"/>
      </c>
      <c r="M18" s="256"/>
      <c r="N18" s="257">
        <f t="shared" si="4"/>
      </c>
      <c r="O18" s="257">
        <f t="shared" si="5"/>
      </c>
      <c r="P18" s="192"/>
      <c r="Q18" s="192"/>
      <c r="R18" s="192"/>
      <c r="S18" s="258">
        <f t="shared" si="6"/>
      </c>
      <c r="T18" s="258">
        <f t="shared" si="7"/>
      </c>
      <c r="U18" s="258">
        <f t="shared" si="8"/>
      </c>
      <c r="V18" s="192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</row>
    <row r="19" spans="2:44" ht="12.75">
      <c r="B19" s="282"/>
      <c r="C19" s="283"/>
      <c r="D19" s="284"/>
      <c r="E19" s="302"/>
      <c r="F19" s="303">
        <f t="shared" si="0"/>
      </c>
      <c r="G19" s="304"/>
      <c r="H19" s="305">
        <f t="shared" si="1"/>
      </c>
      <c r="I19" s="82"/>
      <c r="J19" s="256"/>
      <c r="K19" s="257">
        <f t="shared" si="2"/>
      </c>
      <c r="L19" s="257">
        <f t="shared" si="3"/>
      </c>
      <c r="M19" s="256"/>
      <c r="N19" s="257">
        <f t="shared" si="4"/>
      </c>
      <c r="O19" s="257">
        <f t="shared" si="5"/>
      </c>
      <c r="P19" s="192"/>
      <c r="Q19" s="192"/>
      <c r="R19" s="192"/>
      <c r="S19" s="258">
        <f t="shared" si="6"/>
      </c>
      <c r="T19" s="258">
        <f t="shared" si="7"/>
      </c>
      <c r="U19" s="258">
        <f t="shared" si="8"/>
      </c>
      <c r="V19" s="192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</row>
    <row r="20" spans="2:44" ht="12.75">
      <c r="B20" s="279"/>
      <c r="C20" s="280"/>
      <c r="D20" s="281"/>
      <c r="E20" s="298"/>
      <c r="F20" s="299">
        <f t="shared" si="0"/>
      </c>
      <c r="G20" s="300"/>
      <c r="H20" s="301">
        <f t="shared" si="1"/>
      </c>
      <c r="I20" s="82"/>
      <c r="J20" s="256"/>
      <c r="K20" s="257">
        <f t="shared" si="2"/>
      </c>
      <c r="L20" s="257">
        <f t="shared" si="3"/>
      </c>
      <c r="M20" s="256"/>
      <c r="N20" s="257">
        <f t="shared" si="4"/>
      </c>
      <c r="O20" s="257">
        <f t="shared" si="5"/>
      </c>
      <c r="P20" s="192"/>
      <c r="Q20" s="192"/>
      <c r="R20" s="192"/>
      <c r="S20" s="258">
        <f t="shared" si="6"/>
      </c>
      <c r="T20" s="258">
        <f t="shared" si="7"/>
      </c>
      <c r="U20" s="258">
        <f t="shared" si="8"/>
      </c>
      <c r="V20" s="192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</row>
    <row r="21" spans="2:44" ht="12.75">
      <c r="B21" s="282"/>
      <c r="C21" s="283"/>
      <c r="D21" s="284"/>
      <c r="E21" s="302"/>
      <c r="F21" s="303">
        <f t="shared" si="0"/>
      </c>
      <c r="G21" s="304"/>
      <c r="H21" s="305">
        <f t="shared" si="1"/>
      </c>
      <c r="I21" s="82"/>
      <c r="J21" s="256"/>
      <c r="K21" s="257">
        <f t="shared" si="2"/>
      </c>
      <c r="L21" s="257">
        <f t="shared" si="3"/>
      </c>
      <c r="M21" s="256"/>
      <c r="N21" s="257">
        <f t="shared" si="4"/>
      </c>
      <c r="O21" s="257">
        <f t="shared" si="5"/>
      </c>
      <c r="P21" s="192"/>
      <c r="Q21" s="192"/>
      <c r="R21" s="192"/>
      <c r="S21" s="258">
        <f t="shared" si="6"/>
      </c>
      <c r="T21" s="258">
        <f t="shared" si="7"/>
      </c>
      <c r="U21" s="258">
        <f t="shared" si="8"/>
      </c>
      <c r="V21" s="192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</row>
    <row r="22" spans="2:44" ht="12.75">
      <c r="B22" s="279"/>
      <c r="C22" s="280"/>
      <c r="D22" s="281"/>
      <c r="E22" s="298"/>
      <c r="F22" s="299">
        <f t="shared" si="0"/>
      </c>
      <c r="G22" s="300"/>
      <c r="H22" s="301">
        <f t="shared" si="1"/>
      </c>
      <c r="I22" s="82"/>
      <c r="J22" s="256"/>
      <c r="K22" s="257">
        <f t="shared" si="2"/>
      </c>
      <c r="L22" s="257">
        <f t="shared" si="3"/>
      </c>
      <c r="M22" s="256"/>
      <c r="N22" s="257">
        <f t="shared" si="4"/>
      </c>
      <c r="O22" s="257">
        <f t="shared" si="5"/>
      </c>
      <c r="P22" s="192"/>
      <c r="Q22" s="192"/>
      <c r="R22" s="192"/>
      <c r="S22" s="258">
        <f t="shared" si="6"/>
      </c>
      <c r="T22" s="258">
        <f t="shared" si="7"/>
      </c>
      <c r="U22" s="258">
        <f t="shared" si="8"/>
      </c>
      <c r="V22" s="192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</row>
    <row r="23" spans="2:44" ht="12.75">
      <c r="B23" s="282"/>
      <c r="C23" s="283"/>
      <c r="D23" s="284"/>
      <c r="E23" s="302"/>
      <c r="F23" s="303">
        <f t="shared" si="0"/>
      </c>
      <c r="G23" s="304"/>
      <c r="H23" s="305">
        <f t="shared" si="1"/>
      </c>
      <c r="I23" s="82"/>
      <c r="J23" s="256"/>
      <c r="K23" s="257">
        <f t="shared" si="2"/>
      </c>
      <c r="L23" s="257">
        <f t="shared" si="3"/>
      </c>
      <c r="M23" s="256"/>
      <c r="N23" s="257">
        <f t="shared" si="4"/>
      </c>
      <c r="O23" s="257">
        <f t="shared" si="5"/>
      </c>
      <c r="P23" s="192"/>
      <c r="Q23" s="192"/>
      <c r="R23" s="192"/>
      <c r="S23" s="258">
        <f t="shared" si="6"/>
      </c>
      <c r="T23" s="258">
        <f t="shared" si="7"/>
      </c>
      <c r="U23" s="258">
        <f t="shared" si="8"/>
      </c>
      <c r="V23" s="192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</row>
    <row r="24" spans="2:44" ht="12.75">
      <c r="B24" s="279"/>
      <c r="C24" s="280"/>
      <c r="D24" s="281"/>
      <c r="E24" s="298"/>
      <c r="F24" s="299">
        <f t="shared" si="0"/>
      </c>
      <c r="G24" s="300"/>
      <c r="H24" s="301">
        <f t="shared" si="1"/>
      </c>
      <c r="I24" s="82"/>
      <c r="J24" s="256"/>
      <c r="K24" s="257">
        <f t="shared" si="2"/>
      </c>
      <c r="L24" s="257">
        <f t="shared" si="3"/>
      </c>
      <c r="M24" s="256"/>
      <c r="N24" s="257">
        <f t="shared" si="4"/>
      </c>
      <c r="O24" s="257">
        <f t="shared" si="5"/>
      </c>
      <c r="P24" s="192"/>
      <c r="Q24" s="192"/>
      <c r="R24" s="192"/>
      <c r="S24" s="258">
        <f t="shared" si="6"/>
      </c>
      <c r="T24" s="258">
        <f t="shared" si="7"/>
      </c>
      <c r="U24" s="258">
        <f t="shared" si="8"/>
      </c>
      <c r="V24" s="192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</row>
    <row r="25" spans="2:44" ht="12.75">
      <c r="B25" s="282"/>
      <c r="C25" s="283"/>
      <c r="D25" s="284"/>
      <c r="E25" s="302"/>
      <c r="F25" s="303">
        <f t="shared" si="0"/>
      </c>
      <c r="G25" s="304"/>
      <c r="H25" s="305">
        <f t="shared" si="1"/>
      </c>
      <c r="I25" s="82"/>
      <c r="J25" s="256"/>
      <c r="K25" s="257">
        <f t="shared" si="2"/>
      </c>
      <c r="L25" s="257">
        <f t="shared" si="3"/>
      </c>
      <c r="M25" s="256"/>
      <c r="N25" s="257">
        <f t="shared" si="4"/>
      </c>
      <c r="O25" s="257">
        <f t="shared" si="5"/>
      </c>
      <c r="P25" s="192"/>
      <c r="Q25" s="192"/>
      <c r="R25" s="192"/>
      <c r="S25" s="258">
        <f t="shared" si="6"/>
      </c>
      <c r="T25" s="258">
        <f t="shared" si="7"/>
      </c>
      <c r="U25" s="258">
        <f t="shared" si="8"/>
      </c>
      <c r="V25" s="192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</row>
    <row r="26" spans="2:44" ht="12.75">
      <c r="B26" s="279"/>
      <c r="C26" s="280"/>
      <c r="D26" s="281"/>
      <c r="E26" s="298"/>
      <c r="F26" s="299">
        <f t="shared" si="0"/>
      </c>
      <c r="G26" s="300"/>
      <c r="H26" s="301">
        <f t="shared" si="1"/>
      </c>
      <c r="I26" s="82"/>
      <c r="J26" s="256"/>
      <c r="K26" s="257">
        <f t="shared" si="2"/>
      </c>
      <c r="L26" s="257">
        <f t="shared" si="3"/>
      </c>
      <c r="M26" s="256"/>
      <c r="N26" s="257">
        <f t="shared" si="4"/>
      </c>
      <c r="O26" s="257">
        <f t="shared" si="5"/>
      </c>
      <c r="P26" s="192"/>
      <c r="Q26" s="192"/>
      <c r="R26" s="192"/>
      <c r="S26" s="258">
        <f t="shared" si="6"/>
      </c>
      <c r="T26" s="258">
        <f t="shared" si="7"/>
      </c>
      <c r="U26" s="258">
        <f t="shared" si="8"/>
      </c>
      <c r="V26" s="192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</row>
    <row r="27" spans="2:44" ht="12.75">
      <c r="B27" s="282"/>
      <c r="C27" s="283"/>
      <c r="D27" s="284"/>
      <c r="E27" s="302"/>
      <c r="F27" s="303">
        <f t="shared" si="0"/>
      </c>
      <c r="G27" s="304"/>
      <c r="H27" s="305">
        <f t="shared" si="1"/>
      </c>
      <c r="I27" s="82"/>
      <c r="J27" s="256"/>
      <c r="K27" s="257">
        <f t="shared" si="2"/>
      </c>
      <c r="L27" s="257">
        <f t="shared" si="3"/>
      </c>
      <c r="M27" s="256"/>
      <c r="N27" s="257">
        <f t="shared" si="4"/>
      </c>
      <c r="O27" s="257">
        <f t="shared" si="5"/>
      </c>
      <c r="P27" s="192"/>
      <c r="Q27" s="192"/>
      <c r="R27" s="192"/>
      <c r="S27" s="258">
        <f t="shared" si="6"/>
      </c>
      <c r="T27" s="258">
        <f t="shared" si="7"/>
      </c>
      <c r="U27" s="258">
        <f t="shared" si="8"/>
      </c>
      <c r="V27" s="192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</row>
    <row r="28" spans="2:44" ht="12.75">
      <c r="B28" s="279"/>
      <c r="C28" s="280"/>
      <c r="D28" s="281"/>
      <c r="E28" s="298"/>
      <c r="F28" s="299">
        <f t="shared" si="0"/>
      </c>
      <c r="G28" s="300"/>
      <c r="H28" s="301">
        <f t="shared" si="1"/>
      </c>
      <c r="I28" s="82"/>
      <c r="J28" s="256"/>
      <c r="K28" s="257">
        <f t="shared" si="2"/>
      </c>
      <c r="L28" s="257">
        <f t="shared" si="3"/>
      </c>
      <c r="M28" s="256"/>
      <c r="N28" s="257">
        <f t="shared" si="4"/>
      </c>
      <c r="O28" s="257">
        <f t="shared" si="5"/>
      </c>
      <c r="P28" s="192"/>
      <c r="Q28" s="192"/>
      <c r="R28" s="192"/>
      <c r="S28" s="258">
        <f t="shared" si="6"/>
      </c>
      <c r="T28" s="258">
        <f t="shared" si="7"/>
      </c>
      <c r="U28" s="258">
        <f t="shared" si="8"/>
      </c>
      <c r="V28" s="192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</row>
    <row r="29" spans="2:44" ht="12.75">
      <c r="B29" s="282"/>
      <c r="C29" s="283"/>
      <c r="D29" s="284"/>
      <c r="E29" s="302"/>
      <c r="F29" s="303">
        <f t="shared" si="0"/>
      </c>
      <c r="G29" s="304"/>
      <c r="H29" s="305">
        <f t="shared" si="1"/>
      </c>
      <c r="I29" s="82"/>
      <c r="J29" s="256"/>
      <c r="K29" s="257">
        <f t="shared" si="2"/>
      </c>
      <c r="L29" s="257">
        <f t="shared" si="3"/>
      </c>
      <c r="M29" s="256"/>
      <c r="N29" s="257">
        <f t="shared" si="4"/>
      </c>
      <c r="O29" s="257">
        <f t="shared" si="5"/>
      </c>
      <c r="P29" s="192"/>
      <c r="Q29" s="192"/>
      <c r="R29" s="192"/>
      <c r="S29" s="258">
        <f t="shared" si="6"/>
      </c>
      <c r="T29" s="258">
        <f t="shared" si="7"/>
      </c>
      <c r="U29" s="258">
        <f t="shared" si="8"/>
      </c>
      <c r="V29" s="192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</row>
    <row r="30" spans="2:44" ht="12.75">
      <c r="B30" s="285"/>
      <c r="C30" s="286"/>
      <c r="D30" s="287"/>
      <c r="E30" s="306"/>
      <c r="F30" s="307">
        <f t="shared" si="0"/>
      </c>
      <c r="G30" s="308"/>
      <c r="H30" s="309">
        <f t="shared" si="1"/>
      </c>
      <c r="I30" s="82"/>
      <c r="J30" s="256"/>
      <c r="K30" s="257">
        <f t="shared" si="2"/>
      </c>
      <c r="L30" s="257">
        <f t="shared" si="3"/>
      </c>
      <c r="M30" s="256"/>
      <c r="N30" s="257">
        <f t="shared" si="4"/>
      </c>
      <c r="O30" s="257">
        <f t="shared" si="5"/>
      </c>
      <c r="P30" s="192"/>
      <c r="Q30" s="192"/>
      <c r="R30" s="192"/>
      <c r="S30" s="258">
        <f t="shared" si="6"/>
      </c>
      <c r="T30" s="258">
        <f t="shared" si="7"/>
      </c>
      <c r="U30" s="258">
        <f t="shared" si="8"/>
      </c>
      <c r="V30" s="192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</row>
    <row r="31" spans="10:44" ht="12.75">
      <c r="J31" s="191"/>
      <c r="K31" s="259">
        <f>SUM(K11:K30)</f>
        <v>45000</v>
      </c>
      <c r="L31" s="259">
        <f>SUM(L11:L30)</f>
        <v>0</v>
      </c>
      <c r="M31" s="191"/>
      <c r="N31" s="260">
        <f>SUM(N11:N30)</f>
        <v>11250</v>
      </c>
      <c r="O31" s="260">
        <f>SUM(O11:O30)</f>
        <v>0</v>
      </c>
      <c r="P31" s="192"/>
      <c r="Q31" s="192"/>
      <c r="R31" s="192"/>
      <c r="S31" s="261">
        <f>SUM(S11:S30)</f>
        <v>0</v>
      </c>
      <c r="T31" s="261">
        <f>SUM(T11:T30)</f>
        <v>45000</v>
      </c>
      <c r="U31" s="261">
        <f>SUM(U11:U30)</f>
        <v>0</v>
      </c>
      <c r="V31" s="192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</row>
    <row r="32" spans="2:44" ht="12.75">
      <c r="B32" s="483" t="s">
        <v>330</v>
      </c>
      <c r="C32" s="487">
        <f>K31</f>
        <v>45000</v>
      </c>
      <c r="E32" s="492" t="s">
        <v>325</v>
      </c>
      <c r="F32" s="493"/>
      <c r="G32" s="493"/>
      <c r="H32" s="494"/>
      <c r="J32" s="191"/>
      <c r="K32" s="191"/>
      <c r="L32" s="191"/>
      <c r="M32" s="191"/>
      <c r="N32" s="192"/>
      <c r="O32" s="192"/>
      <c r="P32" s="192"/>
      <c r="Q32" s="192"/>
      <c r="R32" s="192"/>
      <c r="S32" s="192"/>
      <c r="T32" s="192"/>
      <c r="U32" s="192"/>
      <c r="V32" s="192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</row>
    <row r="33" spans="2:44" ht="12.75">
      <c r="B33" s="484"/>
      <c r="C33" s="488"/>
      <c r="E33" s="495"/>
      <c r="F33" s="496"/>
      <c r="G33" s="496"/>
      <c r="H33" s="497"/>
      <c r="J33" s="191"/>
      <c r="K33" s="191" t="s">
        <v>369</v>
      </c>
      <c r="L33" s="259">
        <f>K31+L31</f>
        <v>45000</v>
      </c>
      <c r="M33" s="191"/>
      <c r="N33" s="191" t="s">
        <v>370</v>
      </c>
      <c r="O33" s="259">
        <f>N31+O31</f>
        <v>11250</v>
      </c>
      <c r="P33" s="192"/>
      <c r="Q33" s="192"/>
      <c r="R33" s="192"/>
      <c r="S33" s="192"/>
      <c r="T33" s="192"/>
      <c r="U33" s="192"/>
      <c r="V33" s="192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</row>
    <row r="34" spans="2:44" ht="12.75">
      <c r="B34" s="483" t="s">
        <v>329</v>
      </c>
      <c r="C34" s="487">
        <f>L31</f>
        <v>0</v>
      </c>
      <c r="E34" s="498" t="s">
        <v>322</v>
      </c>
      <c r="F34" s="499"/>
      <c r="G34" s="500"/>
      <c r="H34" s="504">
        <f>S31</f>
        <v>0</v>
      </c>
      <c r="J34" s="191"/>
      <c r="K34" s="191"/>
      <c r="L34" s="191"/>
      <c r="M34" s="191"/>
      <c r="N34" s="192"/>
      <c r="O34" s="192"/>
      <c r="P34" s="192"/>
      <c r="Q34" s="192"/>
      <c r="R34" s="192"/>
      <c r="S34" s="192"/>
      <c r="T34" s="192"/>
      <c r="U34" s="192"/>
      <c r="V34" s="192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</row>
    <row r="35" spans="2:44" ht="12.75">
      <c r="B35" s="484"/>
      <c r="C35" s="488"/>
      <c r="E35" s="501"/>
      <c r="F35" s="502"/>
      <c r="G35" s="503"/>
      <c r="H35" s="505"/>
      <c r="J35" s="252"/>
      <c r="K35" s="252"/>
      <c r="L35" s="252"/>
      <c r="M35" s="252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</row>
    <row r="36" spans="2:44" ht="12.75">
      <c r="B36" s="485" t="s">
        <v>327</v>
      </c>
      <c r="C36" s="489">
        <f>N31</f>
        <v>11250</v>
      </c>
      <c r="E36" s="498" t="s">
        <v>323</v>
      </c>
      <c r="F36" s="499"/>
      <c r="G36" s="500"/>
      <c r="H36" s="504">
        <f>T31</f>
        <v>45000</v>
      </c>
      <c r="J36" s="252"/>
      <c r="K36" s="252"/>
      <c r="L36" s="252"/>
      <c r="M36" s="252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</row>
    <row r="37" spans="2:44" ht="12.75">
      <c r="B37" s="486"/>
      <c r="C37" s="490"/>
      <c r="E37" s="501"/>
      <c r="F37" s="502"/>
      <c r="G37" s="503"/>
      <c r="H37" s="505"/>
      <c r="J37" s="252"/>
      <c r="K37" s="252"/>
      <c r="L37" s="252"/>
      <c r="M37" s="252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</row>
    <row r="38" spans="2:44" ht="12.75">
      <c r="B38" s="485" t="s">
        <v>328</v>
      </c>
      <c r="C38" s="489">
        <f>O31</f>
        <v>0</v>
      </c>
      <c r="E38" s="498" t="s">
        <v>324</v>
      </c>
      <c r="F38" s="499"/>
      <c r="G38" s="500"/>
      <c r="H38" s="504">
        <f>U31</f>
        <v>0</v>
      </c>
      <c r="J38" s="252"/>
      <c r="K38" s="252"/>
      <c r="L38" s="252"/>
      <c r="M38" s="252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</row>
    <row r="39" spans="2:44" ht="12.75">
      <c r="B39" s="486"/>
      <c r="C39" s="490"/>
      <c r="E39" s="501"/>
      <c r="F39" s="502"/>
      <c r="G39" s="503"/>
      <c r="H39" s="505"/>
      <c r="J39" s="252"/>
      <c r="K39" s="252"/>
      <c r="L39" s="252"/>
      <c r="M39" s="252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</row>
    <row r="40" spans="2:44" ht="12.75">
      <c r="B40" s="513"/>
      <c r="C40" s="514"/>
      <c r="J40" s="252"/>
      <c r="K40" s="252"/>
      <c r="L40" s="252"/>
      <c r="M40" s="252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</row>
    <row r="41" spans="2:44" ht="12.75">
      <c r="B41" s="513"/>
      <c r="C41" s="514"/>
      <c r="G41" s="86"/>
      <c r="H41" s="85"/>
      <c r="J41" s="252"/>
      <c r="K41" s="252"/>
      <c r="L41" s="252"/>
      <c r="M41" s="252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</row>
    <row r="42" spans="2:44" ht="12.75">
      <c r="B42" s="513"/>
      <c r="C42" s="514"/>
      <c r="J42" s="252"/>
      <c r="K42" s="252"/>
      <c r="L42" s="252"/>
      <c r="M42" s="252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</row>
    <row r="43" spans="2:44" ht="12.75">
      <c r="B43" s="513"/>
      <c r="C43" s="514"/>
      <c r="J43" s="252"/>
      <c r="K43" s="252"/>
      <c r="L43" s="252"/>
      <c r="M43" s="252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</row>
    <row r="44" spans="10:44" ht="12.75">
      <c r="J44" s="252"/>
      <c r="K44" s="252"/>
      <c r="L44" s="252"/>
      <c r="M44" s="252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</row>
    <row r="45" spans="10:44" ht="12.75">
      <c r="J45" s="252"/>
      <c r="K45" s="252"/>
      <c r="L45" s="252"/>
      <c r="M45" s="252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</row>
    <row r="46" spans="10:44" ht="12.75">
      <c r="J46" s="252"/>
      <c r="K46" s="252"/>
      <c r="L46" s="252"/>
      <c r="M46" s="252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</row>
    <row r="47" spans="10:44" ht="12.75">
      <c r="J47" s="252"/>
      <c r="K47" s="252"/>
      <c r="L47" s="252"/>
      <c r="M47" s="252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</row>
    <row r="48" spans="10:44" ht="12.75">
      <c r="J48" s="252"/>
      <c r="K48" s="252"/>
      <c r="L48" s="252"/>
      <c r="M48" s="252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</row>
    <row r="49" spans="10:44" ht="12.75">
      <c r="J49" s="252"/>
      <c r="K49" s="252"/>
      <c r="L49" s="252"/>
      <c r="M49" s="252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</row>
    <row r="50" spans="10:44" ht="12.75">
      <c r="J50" s="252"/>
      <c r="K50" s="252"/>
      <c r="L50" s="252"/>
      <c r="M50" s="252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</row>
    <row r="51" spans="10:44" ht="12.75">
      <c r="J51" s="252"/>
      <c r="K51" s="252"/>
      <c r="L51" s="252"/>
      <c r="M51" s="252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</row>
    <row r="52" spans="10:44" ht="12.75">
      <c r="J52" s="252"/>
      <c r="K52" s="252"/>
      <c r="L52" s="252"/>
      <c r="M52" s="252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</row>
    <row r="53" spans="10:44" ht="12.75">
      <c r="J53" s="252"/>
      <c r="K53" s="252"/>
      <c r="L53" s="252"/>
      <c r="M53" s="252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</row>
    <row r="54" spans="10:44" ht="12.75">
      <c r="J54" s="252"/>
      <c r="K54" s="252"/>
      <c r="L54" s="252"/>
      <c r="M54" s="252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</row>
    <row r="55" spans="10:44" ht="12.75">
      <c r="J55" s="252"/>
      <c r="K55" s="252"/>
      <c r="L55" s="252"/>
      <c r="M55" s="252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</row>
    <row r="56" spans="10:44" ht="12.75">
      <c r="J56" s="252"/>
      <c r="K56" s="252"/>
      <c r="L56" s="252"/>
      <c r="M56" s="252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</row>
    <row r="57" spans="10:44" ht="12.75">
      <c r="J57" s="252"/>
      <c r="K57" s="252"/>
      <c r="L57" s="252"/>
      <c r="M57" s="252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</row>
    <row r="58" spans="10:44" ht="12.75">
      <c r="J58" s="252"/>
      <c r="K58" s="252"/>
      <c r="L58" s="252"/>
      <c r="M58" s="252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</row>
    <row r="59" spans="10:44" ht="12.75">
      <c r="J59" s="252"/>
      <c r="K59" s="252"/>
      <c r="L59" s="252"/>
      <c r="M59" s="252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</row>
    <row r="60" spans="10:44" ht="12.75">
      <c r="J60" s="252"/>
      <c r="K60" s="252"/>
      <c r="L60" s="252"/>
      <c r="M60" s="252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</row>
    <row r="61" spans="10:44" ht="12.75">
      <c r="J61" s="252"/>
      <c r="K61" s="252"/>
      <c r="L61" s="252"/>
      <c r="M61" s="252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</row>
    <row r="62" spans="10:44" ht="12.75">
      <c r="J62" s="252"/>
      <c r="K62" s="252"/>
      <c r="L62" s="252"/>
      <c r="M62" s="252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</row>
    <row r="63" spans="10:44" ht="12.75">
      <c r="J63" s="252"/>
      <c r="K63" s="252"/>
      <c r="L63" s="252"/>
      <c r="M63" s="252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  <c r="AR63" s="253"/>
    </row>
    <row r="64" spans="10:44" ht="12.75">
      <c r="J64" s="252"/>
      <c r="K64" s="252"/>
      <c r="L64" s="252"/>
      <c r="M64" s="252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  <c r="AR64" s="253"/>
    </row>
    <row r="65" spans="10:44" ht="12.75">
      <c r="J65" s="252"/>
      <c r="K65" s="252"/>
      <c r="L65" s="252"/>
      <c r="M65" s="252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  <c r="AQ65" s="253"/>
      <c r="AR65" s="253"/>
    </row>
    <row r="66" spans="10:44" ht="12.75">
      <c r="J66" s="252"/>
      <c r="K66" s="252"/>
      <c r="L66" s="252"/>
      <c r="M66" s="252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3"/>
    </row>
    <row r="67" spans="10:44" ht="12.75">
      <c r="J67" s="252"/>
      <c r="K67" s="252"/>
      <c r="L67" s="252"/>
      <c r="M67" s="252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3"/>
      <c r="AR67" s="253"/>
    </row>
    <row r="68" spans="10:44" ht="12.75">
      <c r="J68" s="252"/>
      <c r="K68" s="252"/>
      <c r="L68" s="252"/>
      <c r="M68" s="252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</row>
    <row r="69" spans="10:44" ht="12.75">
      <c r="J69" s="252"/>
      <c r="K69" s="252"/>
      <c r="L69" s="252"/>
      <c r="M69" s="252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  <c r="AR69" s="253"/>
    </row>
    <row r="70" spans="10:44" ht="12.75">
      <c r="J70" s="252"/>
      <c r="K70" s="252"/>
      <c r="L70" s="252"/>
      <c r="M70" s="252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  <c r="AR70" s="253"/>
    </row>
    <row r="71" spans="10:44" ht="12.75">
      <c r="J71" s="252"/>
      <c r="K71" s="252"/>
      <c r="L71" s="252"/>
      <c r="M71" s="252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253"/>
      <c r="AL71" s="253"/>
      <c r="AM71" s="253"/>
      <c r="AN71" s="253"/>
      <c r="AO71" s="253"/>
      <c r="AP71" s="253"/>
      <c r="AQ71" s="253"/>
      <c r="AR71" s="253"/>
    </row>
    <row r="72" spans="10:44" ht="12.75">
      <c r="J72" s="252"/>
      <c r="K72" s="252"/>
      <c r="L72" s="252"/>
      <c r="M72" s="252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</row>
    <row r="73" spans="10:44" ht="12.75">
      <c r="J73" s="252"/>
      <c r="K73" s="252"/>
      <c r="L73" s="252"/>
      <c r="M73" s="252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253"/>
      <c r="AL73" s="253"/>
      <c r="AM73" s="253"/>
      <c r="AN73" s="253"/>
      <c r="AO73" s="253"/>
      <c r="AP73" s="253"/>
      <c r="AQ73" s="253"/>
      <c r="AR73" s="253"/>
    </row>
    <row r="74" spans="10:44" ht="12.75">
      <c r="J74" s="252"/>
      <c r="K74" s="252"/>
      <c r="L74" s="252"/>
      <c r="M74" s="252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</row>
    <row r="75" spans="10:44" ht="12.75">
      <c r="J75" s="252"/>
      <c r="K75" s="252"/>
      <c r="L75" s="252"/>
      <c r="M75" s="252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3"/>
    </row>
    <row r="76" spans="10:44" ht="12.75">
      <c r="J76" s="252"/>
      <c r="K76" s="252"/>
      <c r="L76" s="252"/>
      <c r="M76" s="252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  <c r="AR76" s="253"/>
    </row>
    <row r="77" spans="10:44" ht="12.75">
      <c r="J77" s="252"/>
      <c r="K77" s="252"/>
      <c r="L77" s="252"/>
      <c r="M77" s="252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253"/>
      <c r="AH77" s="253"/>
      <c r="AI77" s="253"/>
      <c r="AJ77" s="253"/>
      <c r="AK77" s="253"/>
      <c r="AL77" s="253"/>
      <c r="AM77" s="253"/>
      <c r="AN77" s="253"/>
      <c r="AO77" s="253"/>
      <c r="AP77" s="253"/>
      <c r="AQ77" s="253"/>
      <c r="AR77" s="253"/>
    </row>
    <row r="78" spans="10:44" ht="12.75">
      <c r="J78" s="252"/>
      <c r="K78" s="252"/>
      <c r="L78" s="252"/>
      <c r="M78" s="252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</row>
    <row r="79" spans="10:44" ht="12.75">
      <c r="J79" s="252"/>
      <c r="K79" s="252"/>
      <c r="L79" s="252"/>
      <c r="M79" s="252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</row>
    <row r="80" spans="10:44" ht="12.75">
      <c r="J80" s="252"/>
      <c r="K80" s="252"/>
      <c r="L80" s="252"/>
      <c r="M80" s="252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</row>
    <row r="81" spans="10:44" ht="12.75">
      <c r="J81" s="252"/>
      <c r="K81" s="252"/>
      <c r="L81" s="252"/>
      <c r="M81" s="252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3"/>
    </row>
    <row r="82" spans="10:44" ht="12.75">
      <c r="J82" s="252"/>
      <c r="K82" s="252"/>
      <c r="L82" s="252"/>
      <c r="M82" s="252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  <c r="AR82" s="253"/>
    </row>
    <row r="83" spans="10:44" ht="12.75">
      <c r="J83" s="252"/>
      <c r="K83" s="252"/>
      <c r="L83" s="252"/>
      <c r="M83" s="252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</row>
    <row r="84" spans="10:44" ht="12.75">
      <c r="J84" s="252"/>
      <c r="K84" s="252"/>
      <c r="L84" s="252"/>
      <c r="M84" s="252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  <c r="AI84" s="253"/>
      <c r="AJ84" s="253"/>
      <c r="AK84" s="253"/>
      <c r="AL84" s="253"/>
      <c r="AM84" s="253"/>
      <c r="AN84" s="253"/>
      <c r="AO84" s="253"/>
      <c r="AP84" s="253"/>
      <c r="AQ84" s="253"/>
      <c r="AR84" s="253"/>
    </row>
    <row r="85" spans="10:44" ht="12.75">
      <c r="J85" s="252"/>
      <c r="K85" s="252"/>
      <c r="L85" s="252"/>
      <c r="M85" s="252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253"/>
      <c r="AQ85" s="253"/>
      <c r="AR85" s="253"/>
    </row>
    <row r="86" spans="10:44" ht="12.75">
      <c r="J86" s="252"/>
      <c r="K86" s="252"/>
      <c r="L86" s="252"/>
      <c r="M86" s="252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3"/>
      <c r="AJ86" s="253"/>
      <c r="AK86" s="253"/>
      <c r="AL86" s="253"/>
      <c r="AM86" s="253"/>
      <c r="AN86" s="253"/>
      <c r="AO86" s="253"/>
      <c r="AP86" s="253"/>
      <c r="AQ86" s="253"/>
      <c r="AR86" s="253"/>
    </row>
    <row r="87" spans="10:44" ht="12.75">
      <c r="J87" s="252"/>
      <c r="K87" s="252"/>
      <c r="L87" s="252"/>
      <c r="M87" s="252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  <c r="AR87" s="253"/>
    </row>
    <row r="88" spans="10:44" ht="12.75">
      <c r="J88" s="252"/>
      <c r="K88" s="252"/>
      <c r="L88" s="252"/>
      <c r="M88" s="252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3"/>
    </row>
    <row r="89" spans="10:44" ht="12.75">
      <c r="J89" s="252"/>
      <c r="K89" s="252"/>
      <c r="L89" s="252"/>
      <c r="M89" s="252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</row>
    <row r="90" spans="10:44" ht="12.75">
      <c r="J90" s="252"/>
      <c r="K90" s="252"/>
      <c r="L90" s="252"/>
      <c r="M90" s="252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</row>
    <row r="91" spans="10:44" ht="12.75">
      <c r="J91" s="252"/>
      <c r="K91" s="252"/>
      <c r="L91" s="252"/>
      <c r="M91" s="252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253"/>
      <c r="AP91" s="253"/>
      <c r="AQ91" s="253"/>
      <c r="AR91" s="253"/>
    </row>
    <row r="92" spans="10:44" ht="12.75">
      <c r="J92" s="252"/>
      <c r="K92" s="252"/>
      <c r="L92" s="252"/>
      <c r="M92" s="252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253"/>
      <c r="AP92" s="253"/>
      <c r="AQ92" s="253"/>
      <c r="AR92" s="253"/>
    </row>
    <row r="93" spans="10:44" ht="12.75">
      <c r="J93" s="252"/>
      <c r="K93" s="252"/>
      <c r="L93" s="252"/>
      <c r="M93" s="252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</row>
    <row r="94" spans="10:44" ht="12.75">
      <c r="J94" s="252"/>
      <c r="K94" s="252"/>
      <c r="L94" s="252"/>
      <c r="M94" s="252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3"/>
      <c r="AO94" s="253"/>
      <c r="AP94" s="253"/>
      <c r="AQ94" s="253"/>
      <c r="AR94" s="253"/>
    </row>
    <row r="95" spans="10:44" ht="12.75">
      <c r="J95" s="252"/>
      <c r="K95" s="252"/>
      <c r="L95" s="252"/>
      <c r="M95" s="252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253"/>
      <c r="AP95" s="253"/>
      <c r="AQ95" s="253"/>
      <c r="AR95" s="253"/>
    </row>
  </sheetData>
  <sheetProtection password="B702" sheet="1" objects="1" scenarios="1" selectLockedCells="1"/>
  <mergeCells count="30">
    <mergeCell ref="B42:B43"/>
    <mergeCell ref="C42:C43"/>
    <mergeCell ref="B9:B10"/>
    <mergeCell ref="C9:C10"/>
    <mergeCell ref="C38:C39"/>
    <mergeCell ref="C40:C41"/>
    <mergeCell ref="B40:B41"/>
    <mergeCell ref="B38:B39"/>
    <mergeCell ref="H9:H10"/>
    <mergeCell ref="N9:N10"/>
    <mergeCell ref="O9:O10"/>
    <mergeCell ref="D9:D10"/>
    <mergeCell ref="E10:F10"/>
    <mergeCell ref="E9:F9"/>
    <mergeCell ref="E38:G39"/>
    <mergeCell ref="H34:H35"/>
    <mergeCell ref="H36:H37"/>
    <mergeCell ref="H38:H39"/>
    <mergeCell ref="E34:G35"/>
    <mergeCell ref="E36:G37"/>
    <mergeCell ref="N8:O8"/>
    <mergeCell ref="B32:B33"/>
    <mergeCell ref="B34:B35"/>
    <mergeCell ref="B36:B37"/>
    <mergeCell ref="C32:C33"/>
    <mergeCell ref="C34:C35"/>
    <mergeCell ref="C36:C37"/>
    <mergeCell ref="K9:K10"/>
    <mergeCell ref="L9:L10"/>
    <mergeCell ref="E32:H33"/>
  </mergeCells>
  <dataValidations count="2">
    <dataValidation type="list" allowBlank="1" showInputMessage="1" showErrorMessage="1" sqref="C11:C30">
      <formula1>$P$11:$P$12</formula1>
    </dataValidation>
    <dataValidation type="list" allowBlank="1" showInputMessage="1" showErrorMessage="1" sqref="E11:E30">
      <formula1>$Q$10:$Q$12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4"/>
  <headerFooter alignWithMargins="0">
    <oddFooter>&amp;CImmobilisations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indexed="10"/>
  </sheetPr>
  <dimension ref="A9:L49"/>
  <sheetViews>
    <sheetView showGridLines="0" workbookViewId="0" topLeftCell="A24">
      <selection activeCell="B29" sqref="B29:D29"/>
    </sheetView>
  </sheetViews>
  <sheetFormatPr defaultColWidth="11.421875" defaultRowHeight="12.75"/>
  <cols>
    <col min="1" max="1" width="3.28125" style="6" customWidth="1"/>
    <col min="2" max="3" width="11.421875" style="6" customWidth="1"/>
    <col min="4" max="4" width="28.421875" style="6" customWidth="1"/>
    <col min="5" max="5" width="18.57421875" style="6" customWidth="1"/>
    <col min="6" max="6" width="11.421875" style="381" customWidth="1"/>
    <col min="7" max="9" width="11.421875" style="275" customWidth="1"/>
    <col min="10" max="11" width="11.421875" style="381" customWidth="1"/>
    <col min="12" max="12" width="27.28125" style="381" customWidth="1"/>
    <col min="13" max="16384" width="11.421875" style="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12" ht="18.75" customHeight="1">
      <c r="B9" s="515" t="s">
        <v>339</v>
      </c>
      <c r="C9" s="516"/>
      <c r="D9" s="516"/>
      <c r="E9" s="517"/>
      <c r="F9" s="379"/>
      <c r="J9" s="379"/>
      <c r="K9" s="379"/>
      <c r="L9" s="379"/>
    </row>
    <row r="10" spans="6:12" ht="12.75">
      <c r="F10" s="379"/>
      <c r="J10" s="379"/>
      <c r="K10" s="379"/>
      <c r="L10" s="379"/>
    </row>
    <row r="11" spans="2:12" ht="12.75">
      <c r="B11" s="522" t="s">
        <v>338</v>
      </c>
      <c r="C11" s="523"/>
      <c r="D11" s="524"/>
      <c r="E11" s="528">
        <v>33800</v>
      </c>
      <c r="F11" s="379"/>
      <c r="J11" s="379"/>
      <c r="K11" s="379"/>
      <c r="L11" s="379"/>
    </row>
    <row r="12" spans="2:12" ht="12.75">
      <c r="B12" s="525"/>
      <c r="C12" s="526"/>
      <c r="D12" s="527"/>
      <c r="E12" s="529"/>
      <c r="F12" s="379"/>
      <c r="J12" s="379"/>
      <c r="K12" s="379"/>
      <c r="L12" s="379"/>
    </row>
    <row r="13" spans="2:12" ht="12.75">
      <c r="B13" s="522" t="s">
        <v>336</v>
      </c>
      <c r="C13" s="523"/>
      <c r="D13" s="524"/>
      <c r="E13" s="530">
        <f>SUM(Immobilisations!$C$32:$C$35)</f>
        <v>45000</v>
      </c>
      <c r="F13" s="379"/>
      <c r="J13" s="379"/>
      <c r="K13" s="379"/>
      <c r="L13" s="379"/>
    </row>
    <row r="14" spans="2:12" ht="12.75">
      <c r="B14" s="525"/>
      <c r="C14" s="526"/>
      <c r="D14" s="527"/>
      <c r="E14" s="531"/>
      <c r="F14" s="379"/>
      <c r="J14" s="379"/>
      <c r="K14" s="379"/>
      <c r="L14" s="379"/>
    </row>
    <row r="15" spans="6:12" ht="12.75">
      <c r="F15" s="379"/>
      <c r="J15" s="379"/>
      <c r="K15" s="379"/>
      <c r="L15" s="379"/>
    </row>
    <row r="16" spans="2:7" ht="12.75">
      <c r="B16" s="321">
        <f>IF(E11&lt;(E13*0.75),"Votre apport doit couvrir au minimum 75 % de vos immobilisations.","")</f>
      </c>
      <c r="C16" s="322"/>
      <c r="D16" s="322"/>
      <c r="E16" s="323"/>
      <c r="F16" s="380"/>
      <c r="G16" s="399"/>
    </row>
    <row r="17" spans="2:5" ht="12.75">
      <c r="B17" s="532" t="str">
        <f>IF(B16="","Minimum de 75 % des immobilisations financé.","Le montant des immobilisations ne peut dépasser :")</f>
        <v>Minimum de 75 % des immobilisations financé.</v>
      </c>
      <c r="C17" s="533"/>
      <c r="D17" s="533"/>
      <c r="E17" s="324">
        <f>IF(B17="Minimum de 75 % des immobilisations financé.","",(E11/75)*100)</f>
      </c>
    </row>
    <row r="18" spans="2:5" ht="12.75">
      <c r="B18" s="325">
        <f>IF(B17="Minimum de 75 % des immobilisations financé.","","Augmenter vos apports ou réduisez le montant de vos immobilisations.")</f>
      </c>
      <c r="C18" s="326"/>
      <c r="D18" s="326"/>
      <c r="E18" s="327"/>
    </row>
    <row r="19" ht="12.75"/>
    <row r="20" spans="2:5" ht="12.75">
      <c r="B20" s="539" t="str">
        <f>IF(B16&lt;&gt;"","",IF(E11&gt;=E13,"Pas d'emprunt nécessaire.","Emprunt pour financer les immobilisations :"))</f>
        <v>Emprunt pour financer les immobilisations :</v>
      </c>
      <c r="C20" s="540"/>
      <c r="D20" s="541"/>
      <c r="E20" s="534">
        <f>IF(B20="","",IF(B20="Pas d'emprunt nécessaire.","",E13-E11))</f>
        <v>11200</v>
      </c>
    </row>
    <row r="21" spans="2:5" ht="12.75">
      <c r="B21" s="542"/>
      <c r="C21" s="543"/>
      <c r="D21" s="544"/>
      <c r="E21" s="535"/>
    </row>
    <row r="22" ht="12.75"/>
    <row r="23" ht="12.75"/>
    <row r="24" spans="2:5" ht="12.75">
      <c r="B24" s="515" t="s">
        <v>340</v>
      </c>
      <c r="C24" s="516"/>
      <c r="D24" s="516"/>
      <c r="E24" s="517"/>
    </row>
    <row r="25" ht="12.75"/>
    <row r="26" spans="2:5" ht="12.75">
      <c r="B26" s="518">
        <f>IF(E11&gt;E13,"Il reste après déduction des immobilisations :","")</f>
      </c>
      <c r="C26" s="518"/>
      <c r="D26" s="518"/>
      <c r="E26" s="329">
        <f>IF(E11&gt;E13,E11-E13,"")</f>
      </c>
    </row>
    <row r="27" spans="2:5" ht="12.75">
      <c r="B27" s="328"/>
      <c r="C27" s="328"/>
      <c r="D27" s="328"/>
      <c r="E27" s="329"/>
    </row>
    <row r="28" spans="2:5" ht="18.75" customHeight="1">
      <c r="B28" s="519" t="s">
        <v>356</v>
      </c>
      <c r="C28" s="520"/>
      <c r="D28" s="521"/>
      <c r="E28" s="330" t="s">
        <v>341</v>
      </c>
    </row>
    <row r="29" spans="2:7" ht="18.75" customHeight="1">
      <c r="B29" s="545" t="s">
        <v>243</v>
      </c>
      <c r="C29" s="546"/>
      <c r="D29" s="547"/>
      <c r="E29" s="310">
        <v>5000</v>
      </c>
      <c r="G29" s="275">
        <f>assurances*12</f>
        <v>60000</v>
      </c>
    </row>
    <row r="30" spans="2:8" ht="18.75" customHeight="1">
      <c r="B30" s="536" t="s">
        <v>240</v>
      </c>
      <c r="C30" s="537"/>
      <c r="D30" s="538"/>
      <c r="E30" s="311">
        <v>1000</v>
      </c>
      <c r="G30" s="275">
        <f>edf*12</f>
        <v>12000</v>
      </c>
      <c r="H30" s="275">
        <v>0</v>
      </c>
    </row>
    <row r="31" spans="2:8" ht="18.75" customHeight="1">
      <c r="B31" s="548" t="s">
        <v>242</v>
      </c>
      <c r="C31" s="549"/>
      <c r="D31" s="550"/>
      <c r="E31" s="312">
        <v>500</v>
      </c>
      <c r="G31" s="275">
        <f>entretien*12</f>
        <v>6000</v>
      </c>
      <c r="H31" s="275">
        <v>1</v>
      </c>
    </row>
    <row r="32" spans="2:9" ht="18.75" customHeight="1">
      <c r="B32" s="536" t="s">
        <v>238</v>
      </c>
      <c r="C32" s="537"/>
      <c r="D32" s="538"/>
      <c r="E32" s="311">
        <v>2000</v>
      </c>
      <c r="G32" s="275">
        <f>loyer*12</f>
        <v>24000</v>
      </c>
      <c r="H32" s="275">
        <v>2</v>
      </c>
      <c r="I32" s="275">
        <f>SUM(G29:G37)</f>
        <v>168000</v>
      </c>
    </row>
    <row r="33" spans="2:9" ht="18.75" customHeight="1">
      <c r="B33" s="548" t="s">
        <v>241</v>
      </c>
      <c r="C33" s="549"/>
      <c r="D33" s="550"/>
      <c r="E33" s="312">
        <v>15000</v>
      </c>
      <c r="H33" s="275">
        <v>3</v>
      </c>
      <c r="I33" s="275">
        <f>budgetpub</f>
        <v>41217.20288284894</v>
      </c>
    </row>
    <row r="34" spans="2:9" ht="18.75" customHeight="1">
      <c r="B34" s="555" t="s">
        <v>9</v>
      </c>
      <c r="C34" s="556"/>
      <c r="D34" s="557"/>
      <c r="E34" s="313">
        <f>E33*0.45</f>
        <v>6750</v>
      </c>
      <c r="I34" s="275">
        <f>SUM(I32:I33)</f>
        <v>209217.20288284894</v>
      </c>
    </row>
    <row r="35" spans="2:7" ht="18.75" customHeight="1">
      <c r="B35" s="548" t="s">
        <v>244</v>
      </c>
      <c r="C35" s="549"/>
      <c r="D35" s="550"/>
      <c r="E35" s="312">
        <v>500</v>
      </c>
      <c r="G35" s="275">
        <f>telephone*12</f>
        <v>6000</v>
      </c>
    </row>
    <row r="36" spans="2:7" ht="18.75" customHeight="1">
      <c r="B36" s="536" t="s">
        <v>249</v>
      </c>
      <c r="C36" s="537"/>
      <c r="D36" s="538"/>
      <c r="E36" s="311">
        <v>3500</v>
      </c>
      <c r="G36" s="275">
        <f>cfd*12</f>
        <v>42000</v>
      </c>
    </row>
    <row r="37" spans="2:7" ht="18.75" customHeight="1">
      <c r="B37" s="548" t="s">
        <v>248</v>
      </c>
      <c r="C37" s="549"/>
      <c r="D37" s="550"/>
      <c r="E37" s="312">
        <v>1500</v>
      </c>
      <c r="G37" s="275">
        <f>cvd*12</f>
        <v>18000</v>
      </c>
    </row>
    <row r="38" spans="2:5" ht="18.75" customHeight="1">
      <c r="B38" s="519" t="s">
        <v>342</v>
      </c>
      <c r="C38" s="520"/>
      <c r="D38" s="521"/>
      <c r="E38" s="314">
        <f>SUM(E29:E37)</f>
        <v>35750</v>
      </c>
    </row>
    <row r="39" spans="2:5" ht="18.75" customHeight="1">
      <c r="B39" s="519" t="s">
        <v>371</v>
      </c>
      <c r="C39" s="520"/>
      <c r="D39" s="521"/>
      <c r="E39" s="315">
        <f>E38*12</f>
        <v>429000</v>
      </c>
    </row>
    <row r="40" ht="12.75"/>
    <row r="41" spans="2:12" s="331" customFormat="1" ht="18.75" customHeight="1">
      <c r="B41" s="551" t="s">
        <v>343</v>
      </c>
      <c r="C41" s="552"/>
      <c r="D41" s="553"/>
      <c r="E41" s="316">
        <v>0</v>
      </c>
      <c r="F41" s="382"/>
      <c r="G41" s="400"/>
      <c r="H41" s="400"/>
      <c r="I41" s="400"/>
      <c r="J41" s="382"/>
      <c r="K41" s="382"/>
      <c r="L41" s="382"/>
    </row>
    <row r="43" spans="2:12" s="331" customFormat="1" ht="18.75" customHeight="1">
      <c r="B43" s="333" t="s">
        <v>344</v>
      </c>
      <c r="C43" s="332">
        <f>E41</f>
        <v>0</v>
      </c>
      <c r="D43" s="334" t="s">
        <v>345</v>
      </c>
      <c r="E43" s="317">
        <f>E38*E41</f>
        <v>0</v>
      </c>
      <c r="F43" s="382"/>
      <c r="G43" s="400"/>
      <c r="H43" s="400"/>
      <c r="I43" s="400"/>
      <c r="J43" s="382"/>
      <c r="K43" s="382"/>
      <c r="L43" s="382"/>
    </row>
    <row r="44" spans="1:12" s="331" customFormat="1" ht="18.75" customHeight="1">
      <c r="A44" s="335"/>
      <c r="B44" s="336"/>
      <c r="C44" s="337"/>
      <c r="D44" s="338"/>
      <c r="E44" s="318"/>
      <c r="F44" s="382"/>
      <c r="G44" s="400"/>
      <c r="H44" s="400"/>
      <c r="I44" s="400"/>
      <c r="J44" s="382"/>
      <c r="K44" s="382"/>
      <c r="L44" s="382"/>
    </row>
    <row r="45" spans="2:5" ht="12.75">
      <c r="B45" s="319"/>
      <c r="C45" s="319"/>
      <c r="D45" s="319"/>
      <c r="E45" s="319"/>
    </row>
    <row r="46" spans="2:5" ht="12.75">
      <c r="B46" s="554" t="str">
        <f>IF(E26="","Vous devez emprunter la somme de :","")</f>
        <v>Vous devez emprunter la somme de :</v>
      </c>
      <c r="C46" s="554"/>
      <c r="D46" s="554"/>
      <c r="E46" s="320">
        <f>IF(B46="","",IF(E20="",E43,E20+E43))</f>
        <v>11200</v>
      </c>
    </row>
    <row r="47" spans="2:5" ht="12.75">
      <c r="B47" s="339">
        <f>IF(B46&lt;&gt;"","",IF(AND(E26&gt;0,E26&gt;=E43),"Il reste après déduction des charges :",""))</f>
      </c>
      <c r="C47" s="339"/>
      <c r="D47" s="339"/>
      <c r="E47" s="320">
        <f>IF(E26="","",E26-E43)</f>
      </c>
    </row>
    <row r="48" spans="2:5" ht="18.75" customHeight="1">
      <c r="B48" s="551" t="s">
        <v>455</v>
      </c>
      <c r="C48" s="552"/>
      <c r="D48" s="553"/>
      <c r="E48" s="438">
        <v>10000</v>
      </c>
    </row>
    <row r="49" spans="2:5" ht="12.75">
      <c r="B49" s="319"/>
      <c r="C49" s="319"/>
      <c r="D49" s="319"/>
      <c r="E49" s="319"/>
    </row>
  </sheetData>
  <sheetProtection password="B702" sheet="1" objects="1" scenarios="1" selectLockedCells="1"/>
  <mergeCells count="25">
    <mergeCell ref="B48:D48"/>
    <mergeCell ref="B46:D46"/>
    <mergeCell ref="B39:D39"/>
    <mergeCell ref="B32:D32"/>
    <mergeCell ref="B37:D37"/>
    <mergeCell ref="B38:D38"/>
    <mergeCell ref="B41:D41"/>
    <mergeCell ref="B33:D33"/>
    <mergeCell ref="B34:D34"/>
    <mergeCell ref="B35:D35"/>
    <mergeCell ref="B36:D36"/>
    <mergeCell ref="B20:D21"/>
    <mergeCell ref="B29:D29"/>
    <mergeCell ref="B30:D30"/>
    <mergeCell ref="B31:D31"/>
    <mergeCell ref="B9:E9"/>
    <mergeCell ref="B24:E24"/>
    <mergeCell ref="B26:D26"/>
    <mergeCell ref="B28:D28"/>
    <mergeCell ref="B11:D12"/>
    <mergeCell ref="B13:D14"/>
    <mergeCell ref="E11:E12"/>
    <mergeCell ref="E13:E14"/>
    <mergeCell ref="B17:D17"/>
    <mergeCell ref="E20:E21"/>
  </mergeCells>
  <dataValidations count="1">
    <dataValidation type="list" allowBlank="1" showInputMessage="1" showErrorMessage="1" sqref="E41">
      <formula1>$H$30:$H$33</formula1>
    </dataValidation>
  </dataValidations>
  <printOptions/>
  <pageMargins left="0.75" right="0.75" top="1" bottom="1" header="0.4921259845" footer="0.4921259845"/>
  <pageSetup horizontalDpi="600" verticalDpi="600" orientation="portrait" paperSize="9" r:id="rId4"/>
  <headerFooter alignWithMargins="0">
    <oddFooter>&amp;CEvaluation des Besoins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B4:V65"/>
  <sheetViews>
    <sheetView showGridLines="0" workbookViewId="0" topLeftCell="A1">
      <selection activeCell="E10" sqref="E10"/>
    </sheetView>
  </sheetViews>
  <sheetFormatPr defaultColWidth="11.421875" defaultRowHeight="12.75"/>
  <cols>
    <col min="1" max="1" width="3.57421875" style="0" customWidth="1"/>
    <col min="2" max="2" width="17.421875" style="0" customWidth="1"/>
    <col min="3" max="3" width="15.57421875" style="0" customWidth="1"/>
    <col min="4" max="4" width="19.00390625" style="0" customWidth="1"/>
    <col min="5" max="5" width="16.7109375" style="0" customWidth="1"/>
    <col min="6" max="6" width="16.8515625" style="0" customWidth="1"/>
    <col min="7" max="7" width="17.28125" style="0" customWidth="1"/>
    <col min="8" max="8" width="11.421875" style="1" customWidth="1"/>
    <col min="9" max="9" width="11.7109375" style="1" bestFit="1" customWidth="1"/>
    <col min="10" max="10" width="11.421875" style="1" customWidth="1"/>
  </cols>
  <sheetData>
    <row r="1" ht="12.75"/>
    <row r="2" ht="12.75"/>
    <row r="3" ht="12.75"/>
    <row r="4" spans="8:22" ht="12.75">
      <c r="H4" s="190"/>
      <c r="I4" s="190"/>
      <c r="J4" s="190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</row>
    <row r="5" spans="8:22" ht="12.75">
      <c r="H5" s="190"/>
      <c r="I5" s="190"/>
      <c r="J5" s="190"/>
      <c r="K5" s="189"/>
      <c r="L5" s="189">
        <v>3</v>
      </c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8:22" ht="12.75">
      <c r="H6" s="190"/>
      <c r="I6" s="190"/>
      <c r="J6" s="190"/>
      <c r="K6" s="189"/>
      <c r="L6" s="189">
        <v>4</v>
      </c>
      <c r="M6" s="189"/>
      <c r="N6" s="189"/>
      <c r="O6" s="189"/>
      <c r="P6" s="189"/>
      <c r="Q6" s="189"/>
      <c r="R6" s="189"/>
      <c r="S6" s="189"/>
      <c r="T6" s="189"/>
      <c r="U6" s="189"/>
      <c r="V6" s="189"/>
    </row>
    <row r="7" spans="8:22" ht="12.75">
      <c r="H7" s="190">
        <v>4</v>
      </c>
      <c r="I7" s="190"/>
      <c r="J7" s="190"/>
      <c r="K7" s="189"/>
      <c r="L7" s="189">
        <v>5</v>
      </c>
      <c r="M7" s="189"/>
      <c r="N7" s="189"/>
      <c r="O7" s="189"/>
      <c r="P7" s="189"/>
      <c r="Q7" s="189"/>
      <c r="R7" s="189"/>
      <c r="S7" s="189"/>
      <c r="T7" s="189"/>
      <c r="U7" s="189"/>
      <c r="V7" s="189"/>
    </row>
    <row r="8" spans="8:22" ht="12.75">
      <c r="H8" s="190">
        <v>4.5</v>
      </c>
      <c r="I8" s="190"/>
      <c r="J8" s="190"/>
      <c r="K8" s="189"/>
      <c r="L8" s="189">
        <v>6</v>
      </c>
      <c r="M8" s="189"/>
      <c r="N8" s="189"/>
      <c r="O8" s="189"/>
      <c r="P8" s="189"/>
      <c r="Q8" s="189"/>
      <c r="R8" s="189"/>
      <c r="S8" s="189"/>
      <c r="T8" s="189"/>
      <c r="U8" s="189"/>
      <c r="V8" s="189"/>
    </row>
    <row r="9" spans="8:22" ht="18.75" customHeight="1">
      <c r="H9" s="190">
        <v>5</v>
      </c>
      <c r="I9" s="190"/>
      <c r="J9" s="190"/>
      <c r="K9" s="189"/>
      <c r="L9" s="189">
        <v>7</v>
      </c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3:22" ht="18.75" customHeight="1">
      <c r="C10" s="563" t="s">
        <v>430</v>
      </c>
      <c r="D10" s="564"/>
      <c r="E10" s="222">
        <f>montant_a_emprunter+empruntsup</f>
        <v>21200</v>
      </c>
      <c r="F10" s="77"/>
      <c r="H10" s="190">
        <v>6</v>
      </c>
      <c r="I10" s="190"/>
      <c r="J10" s="262"/>
      <c r="K10" s="189"/>
      <c r="L10" s="189">
        <v>8</v>
      </c>
      <c r="M10" s="189"/>
      <c r="N10" s="189"/>
      <c r="O10" s="189"/>
      <c r="P10" s="189"/>
      <c r="Q10" s="189"/>
      <c r="R10" s="189"/>
      <c r="S10" s="189"/>
      <c r="T10" s="189"/>
      <c r="U10" s="189"/>
      <c r="V10" s="189"/>
    </row>
    <row r="11" spans="3:22" ht="18.75" customHeight="1">
      <c r="C11" s="88"/>
      <c r="D11" s="88"/>
      <c r="E11" s="88"/>
      <c r="F11" s="77"/>
      <c r="H11" s="262">
        <v>6.5</v>
      </c>
      <c r="I11" s="190"/>
      <c r="J11" s="190"/>
      <c r="K11" s="189"/>
      <c r="L11" s="189">
        <v>9</v>
      </c>
      <c r="M11" s="189"/>
      <c r="N11" s="189"/>
      <c r="O11" s="189"/>
      <c r="P11" s="189"/>
      <c r="Q11" s="189"/>
      <c r="R11" s="189"/>
      <c r="S11" s="189"/>
      <c r="T11" s="189"/>
      <c r="U11" s="189"/>
      <c r="V11" s="189"/>
    </row>
    <row r="12" spans="3:22" ht="18.75" customHeight="1">
      <c r="C12" s="565" t="s">
        <v>431</v>
      </c>
      <c r="D12" s="565"/>
      <c r="E12" s="288">
        <v>6</v>
      </c>
      <c r="F12" s="221" t="s">
        <v>296</v>
      </c>
      <c r="H12" s="262"/>
      <c r="I12" s="190"/>
      <c r="J12" s="190"/>
      <c r="K12" s="189"/>
      <c r="L12" s="189">
        <v>10</v>
      </c>
      <c r="M12" s="189"/>
      <c r="N12" s="189"/>
      <c r="O12" s="189"/>
      <c r="P12" s="189"/>
      <c r="Q12" s="189"/>
      <c r="R12" s="189"/>
      <c r="S12" s="189"/>
      <c r="T12" s="189"/>
      <c r="U12" s="189"/>
      <c r="V12" s="189"/>
    </row>
    <row r="13" spans="3:22" ht="18.75" customHeight="1">
      <c r="C13" s="88"/>
      <c r="D13" s="88"/>
      <c r="E13" s="88"/>
      <c r="F13" s="77"/>
      <c r="H13" s="262"/>
      <c r="I13" s="190"/>
      <c r="J13" s="190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</row>
    <row r="14" spans="3:22" ht="18.75" customHeight="1">
      <c r="C14" s="565" t="s">
        <v>347</v>
      </c>
      <c r="D14" s="565"/>
      <c r="E14" s="288">
        <v>5</v>
      </c>
      <c r="F14" s="88" t="s">
        <v>346</v>
      </c>
      <c r="H14" s="190"/>
      <c r="I14" s="190" t="s">
        <v>429</v>
      </c>
      <c r="J14" s="190">
        <f>12*E14</f>
        <v>60</v>
      </c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</row>
    <row r="15" spans="3:22" ht="12.75">
      <c r="C15" s="77"/>
      <c r="D15" s="77"/>
      <c r="E15" s="77"/>
      <c r="F15" s="220"/>
      <c r="H15" s="190"/>
      <c r="I15" s="190"/>
      <c r="J15" s="190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</row>
    <row r="16" spans="8:22" ht="12.75">
      <c r="H16" s="190"/>
      <c r="I16" s="190"/>
      <c r="J16" s="190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</row>
    <row r="17" spans="2:22" s="77" customFormat="1" ht="24.75" customHeight="1">
      <c r="B17" s="560" t="s">
        <v>421</v>
      </c>
      <c r="C17" s="561"/>
      <c r="D17" s="561"/>
      <c r="E17" s="561"/>
      <c r="F17" s="562"/>
      <c r="H17" s="263"/>
      <c r="I17" s="263"/>
      <c r="J17" s="26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</row>
    <row r="18" spans="2:22" s="77" customFormat="1" ht="24.75" customHeight="1">
      <c r="B18" s="223"/>
      <c r="C18" s="224"/>
      <c r="D18" s="224"/>
      <c r="E18" s="224"/>
      <c r="F18" s="225"/>
      <c r="H18" s="263"/>
      <c r="I18" s="263"/>
      <c r="J18" s="26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</row>
    <row r="19" spans="2:22" s="77" customFormat="1" ht="18" customHeight="1">
      <c r="B19" s="211" t="s">
        <v>432</v>
      </c>
      <c r="C19" s="426">
        <f>emprunt_total</f>
        <v>21200</v>
      </c>
      <c r="D19" s="210"/>
      <c r="E19" s="212"/>
      <c r="F19" s="214"/>
      <c r="H19" s="263"/>
      <c r="I19" s="264"/>
      <c r="J19" s="26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</row>
    <row r="20" spans="2:22" s="77" customFormat="1" ht="18" customHeight="1">
      <c r="B20" s="211" t="s">
        <v>422</v>
      </c>
      <c r="C20" s="427">
        <f>taux_emprunt/100</f>
        <v>0.06</v>
      </c>
      <c r="D20" s="212"/>
      <c r="E20" s="213"/>
      <c r="F20" s="214"/>
      <c r="H20" s="263"/>
      <c r="I20" s="264"/>
      <c r="J20" s="26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</row>
    <row r="21" spans="2:22" s="77" customFormat="1" ht="18" customHeight="1">
      <c r="B21" s="211" t="s">
        <v>423</v>
      </c>
      <c r="C21" s="428">
        <f>duree_emprunt</f>
        <v>60</v>
      </c>
      <c r="D21" s="212"/>
      <c r="E21" s="212"/>
      <c r="F21" s="214"/>
      <c r="H21" s="263"/>
      <c r="I21" s="264"/>
      <c r="J21" s="26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</row>
    <row r="22" spans="2:22" s="77" customFormat="1" ht="18" customHeight="1">
      <c r="B22" s="211" t="s">
        <v>424</v>
      </c>
      <c r="C22" s="429">
        <f>DATE(2004,1,1)</f>
        <v>37987</v>
      </c>
      <c r="D22" s="226"/>
      <c r="E22" s="212"/>
      <c r="F22" s="214"/>
      <c r="H22" s="263"/>
      <c r="I22" s="264"/>
      <c r="J22" s="26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</row>
    <row r="23" spans="2:22" s="77" customFormat="1" ht="18" customHeight="1">
      <c r="B23" s="215"/>
      <c r="C23" s="216"/>
      <c r="D23" s="217"/>
      <c r="E23" s="218"/>
      <c r="F23" s="219"/>
      <c r="H23" s="263"/>
      <c r="I23" s="264"/>
      <c r="J23" s="26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</row>
    <row r="24" spans="2:22" s="77" customFormat="1" ht="36" customHeight="1">
      <c r="B24" s="227" t="s">
        <v>425</v>
      </c>
      <c r="C24" s="227" t="s">
        <v>254</v>
      </c>
      <c r="D24" s="227" t="s">
        <v>426</v>
      </c>
      <c r="E24" s="227" t="s">
        <v>427</v>
      </c>
      <c r="F24" s="227" t="s">
        <v>428</v>
      </c>
      <c r="H24" s="263"/>
      <c r="I24" s="264"/>
      <c r="J24" s="26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</row>
    <row r="25" spans="2:22" s="77" customFormat="1" ht="18" customHeight="1">
      <c r="B25" s="416">
        <f>IF(C22="","",1)</f>
        <v>1</v>
      </c>
      <c r="C25" s="417">
        <f>IF(C19="","",C19)</f>
        <v>21200</v>
      </c>
      <c r="D25" s="417">
        <f aca="true" t="shared" si="0" ref="D25:D36">IF(B25="","",(C25*$C$20/12))</f>
        <v>106</v>
      </c>
      <c r="E25" s="417">
        <f aca="true" t="shared" si="1" ref="E25:E36">IF(B25="","",F25-D25)</f>
        <v>303.8553924238826</v>
      </c>
      <c r="F25" s="418">
        <f aca="true" t="shared" si="2" ref="F25:F36">IF(B25="","",-PMT($C$20/12,$C$21,$C$19,0))</f>
        <v>409.8553924238826</v>
      </c>
      <c r="H25" s="263"/>
      <c r="I25" s="264"/>
      <c r="J25" s="26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</row>
    <row r="26" spans="2:22" s="77" customFormat="1" ht="18" customHeight="1">
      <c r="B26" s="419">
        <f aca="true" t="shared" si="3" ref="B26:B36">IF(B25="","",IF(B25+1&gt;$C$21,"",B25+1))</f>
        <v>2</v>
      </c>
      <c r="C26" s="417">
        <f aca="true" t="shared" si="4" ref="C26:C36">IF(B26="","",C25-E25)</f>
        <v>20896.144607576116</v>
      </c>
      <c r="D26" s="417">
        <f t="shared" si="0"/>
        <v>104.48072303788058</v>
      </c>
      <c r="E26" s="417">
        <f t="shared" si="1"/>
        <v>305.37466938600204</v>
      </c>
      <c r="F26" s="418">
        <f t="shared" si="2"/>
        <v>409.8553924238826</v>
      </c>
      <c r="H26" s="263"/>
      <c r="I26" s="264"/>
      <c r="J26" s="26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</row>
    <row r="27" spans="2:22" s="77" customFormat="1" ht="18" customHeight="1">
      <c r="B27" s="419">
        <f t="shared" si="3"/>
        <v>3</v>
      </c>
      <c r="C27" s="417">
        <f t="shared" si="4"/>
        <v>20590.769938190115</v>
      </c>
      <c r="D27" s="417">
        <f t="shared" si="0"/>
        <v>102.95384969095056</v>
      </c>
      <c r="E27" s="417">
        <f t="shared" si="1"/>
        <v>306.90154273293206</v>
      </c>
      <c r="F27" s="418">
        <f t="shared" si="2"/>
        <v>409.8553924238826</v>
      </c>
      <c r="H27" s="263"/>
      <c r="I27" s="264"/>
      <c r="J27" s="26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</row>
    <row r="28" spans="2:22" s="77" customFormat="1" ht="18" customHeight="1">
      <c r="B28" s="419">
        <f t="shared" si="3"/>
        <v>4</v>
      </c>
      <c r="C28" s="417">
        <f t="shared" si="4"/>
        <v>20283.868395457182</v>
      </c>
      <c r="D28" s="417">
        <f t="shared" si="0"/>
        <v>101.41934197728591</v>
      </c>
      <c r="E28" s="417">
        <f t="shared" si="1"/>
        <v>308.4360504465967</v>
      </c>
      <c r="F28" s="418">
        <f t="shared" si="2"/>
        <v>409.8553924238826</v>
      </c>
      <c r="H28" s="263"/>
      <c r="I28" s="264"/>
      <c r="J28" s="26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</row>
    <row r="29" spans="2:22" s="77" customFormat="1" ht="18" customHeight="1">
      <c r="B29" s="419">
        <f t="shared" si="3"/>
        <v>5</v>
      </c>
      <c r="C29" s="417">
        <f t="shared" si="4"/>
        <v>19975.432345010588</v>
      </c>
      <c r="D29" s="417">
        <f t="shared" si="0"/>
        <v>99.87716172505293</v>
      </c>
      <c r="E29" s="417">
        <f t="shared" si="1"/>
        <v>309.9782306988297</v>
      </c>
      <c r="F29" s="418">
        <f t="shared" si="2"/>
        <v>409.8553924238826</v>
      </c>
      <c r="H29" s="263"/>
      <c r="I29" s="264"/>
      <c r="J29" s="26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</row>
    <row r="30" spans="2:22" s="77" customFormat="1" ht="18" customHeight="1">
      <c r="B30" s="419">
        <f t="shared" si="3"/>
        <v>6</v>
      </c>
      <c r="C30" s="417">
        <f t="shared" si="4"/>
        <v>19665.454114311757</v>
      </c>
      <c r="D30" s="417">
        <f t="shared" si="0"/>
        <v>98.32727057155877</v>
      </c>
      <c r="E30" s="417">
        <f t="shared" si="1"/>
        <v>311.52812185232386</v>
      </c>
      <c r="F30" s="418">
        <f t="shared" si="2"/>
        <v>409.8553924238826</v>
      </c>
      <c r="H30" s="263"/>
      <c r="I30" s="264"/>
      <c r="J30" s="26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</row>
    <row r="31" spans="2:22" s="77" customFormat="1" ht="18" customHeight="1">
      <c r="B31" s="419">
        <f t="shared" si="3"/>
        <v>7</v>
      </c>
      <c r="C31" s="417">
        <f t="shared" si="4"/>
        <v>19353.925992459433</v>
      </c>
      <c r="D31" s="417">
        <f t="shared" si="0"/>
        <v>96.76962996229717</v>
      </c>
      <c r="E31" s="417">
        <f t="shared" si="1"/>
        <v>313.08576246158543</v>
      </c>
      <c r="F31" s="418">
        <f t="shared" si="2"/>
        <v>409.8553924238826</v>
      </c>
      <c r="H31" s="263"/>
      <c r="I31" s="264"/>
      <c r="J31" s="26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</row>
    <row r="32" spans="2:22" s="77" customFormat="1" ht="18" customHeight="1">
      <c r="B32" s="419">
        <f t="shared" si="3"/>
        <v>8</v>
      </c>
      <c r="C32" s="417">
        <f t="shared" si="4"/>
        <v>19040.840229997848</v>
      </c>
      <c r="D32" s="417">
        <f t="shared" si="0"/>
        <v>95.20420114998923</v>
      </c>
      <c r="E32" s="417">
        <f t="shared" si="1"/>
        <v>314.6511912738934</v>
      </c>
      <c r="F32" s="418">
        <f t="shared" si="2"/>
        <v>409.8553924238826</v>
      </c>
      <c r="H32" s="263"/>
      <c r="I32" s="264"/>
      <c r="J32" s="26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</row>
    <row r="33" spans="2:22" s="77" customFormat="1" ht="18" customHeight="1">
      <c r="B33" s="419">
        <f t="shared" si="3"/>
        <v>9</v>
      </c>
      <c r="C33" s="417">
        <f t="shared" si="4"/>
        <v>18726.189038723955</v>
      </c>
      <c r="D33" s="417">
        <f t="shared" si="0"/>
        <v>93.63094519361977</v>
      </c>
      <c r="E33" s="417">
        <f t="shared" si="1"/>
        <v>316.22444723026285</v>
      </c>
      <c r="F33" s="418">
        <f t="shared" si="2"/>
        <v>409.8553924238826</v>
      </c>
      <c r="H33" s="264"/>
      <c r="I33" s="264"/>
      <c r="J33" s="265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</row>
    <row r="34" spans="2:22" s="77" customFormat="1" ht="18" customHeight="1">
      <c r="B34" s="419">
        <f t="shared" si="3"/>
        <v>10</v>
      </c>
      <c r="C34" s="417">
        <f t="shared" si="4"/>
        <v>18409.964591493692</v>
      </c>
      <c r="D34" s="417">
        <f t="shared" si="0"/>
        <v>92.04982295746845</v>
      </c>
      <c r="E34" s="417">
        <f t="shared" si="1"/>
        <v>317.80556946641417</v>
      </c>
      <c r="F34" s="418">
        <f t="shared" si="2"/>
        <v>409.8553924238826</v>
      </c>
      <c r="H34" s="264"/>
      <c r="I34" s="264"/>
      <c r="J34" s="265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</row>
    <row r="35" spans="2:22" s="77" customFormat="1" ht="18" customHeight="1">
      <c r="B35" s="419">
        <f t="shared" si="3"/>
        <v>11</v>
      </c>
      <c r="C35" s="417">
        <f t="shared" si="4"/>
        <v>18092.159022027277</v>
      </c>
      <c r="D35" s="417">
        <f t="shared" si="0"/>
        <v>90.46079511013637</v>
      </c>
      <c r="E35" s="417">
        <f t="shared" si="1"/>
        <v>319.39459731374626</v>
      </c>
      <c r="F35" s="418">
        <f t="shared" si="2"/>
        <v>409.8553924238826</v>
      </c>
      <c r="H35" s="264"/>
      <c r="I35" s="264"/>
      <c r="J35" s="265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</row>
    <row r="36" spans="2:22" s="77" customFormat="1" ht="18" customHeight="1">
      <c r="B36" s="420">
        <f t="shared" si="3"/>
        <v>12</v>
      </c>
      <c r="C36" s="421">
        <f t="shared" si="4"/>
        <v>17772.764424713532</v>
      </c>
      <c r="D36" s="421">
        <f t="shared" si="0"/>
        <v>88.86382212356766</v>
      </c>
      <c r="E36" s="421">
        <f t="shared" si="1"/>
        <v>320.99157030031495</v>
      </c>
      <c r="F36" s="422">
        <f t="shared" si="2"/>
        <v>409.8553924238826</v>
      </c>
      <c r="H36" s="264"/>
      <c r="I36" s="264"/>
      <c r="J36" s="265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</row>
    <row r="37" spans="2:22" s="77" customFormat="1" ht="15.75" customHeight="1">
      <c r="B37" s="558" t="s">
        <v>172</v>
      </c>
      <c r="C37" s="559"/>
      <c r="D37" s="423">
        <f>SUM(D25:D36)</f>
        <v>1170.0375634998072</v>
      </c>
      <c r="E37" s="424">
        <f>SUM(E25:E36)</f>
        <v>3748.2271455867835</v>
      </c>
      <c r="F37" s="425">
        <f>SUM(F25:F36)</f>
        <v>4918.26470908659</v>
      </c>
      <c r="H37" s="263" t="s">
        <v>435</v>
      </c>
      <c r="I37" s="266">
        <f>C25-E37</f>
        <v>17451.772854413215</v>
      </c>
      <c r="J37" s="26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</row>
    <row r="38" spans="8:22" ht="12.75">
      <c r="H38" s="190"/>
      <c r="I38" s="190"/>
      <c r="J38" s="190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</row>
    <row r="39" spans="8:22" ht="12.75">
      <c r="H39" s="190"/>
      <c r="I39" s="190"/>
      <c r="J39" s="190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</row>
    <row r="40" spans="8:22" ht="12.75">
      <c r="H40" s="190"/>
      <c r="I40" s="190"/>
      <c r="J40" s="190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</row>
    <row r="41" spans="8:22" ht="12.75">
      <c r="H41" s="190"/>
      <c r="I41" s="190"/>
      <c r="J41" s="190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</row>
    <row r="42" spans="8:22" ht="12.75">
      <c r="H42" s="190"/>
      <c r="I42" s="190"/>
      <c r="J42" s="190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</row>
    <row r="43" spans="8:22" ht="12.75">
      <c r="H43" s="190"/>
      <c r="I43" s="190"/>
      <c r="J43" s="190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</row>
    <row r="44" spans="8:22" ht="12.75">
      <c r="H44" s="190"/>
      <c r="I44" s="190"/>
      <c r="J44" s="190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</row>
    <row r="45" spans="8:22" ht="12.75">
      <c r="H45" s="190"/>
      <c r="I45" s="190"/>
      <c r="J45" s="190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</row>
    <row r="46" spans="8:22" ht="12.75">
      <c r="H46" s="190"/>
      <c r="I46" s="190"/>
      <c r="J46" s="190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</row>
    <row r="47" spans="8:22" ht="12.75">
      <c r="H47" s="190"/>
      <c r="I47" s="190"/>
      <c r="J47" s="190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</row>
    <row r="48" spans="8:22" ht="12.75">
      <c r="H48" s="190"/>
      <c r="I48" s="190"/>
      <c r="J48" s="190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</row>
    <row r="49" spans="8:22" ht="12.75">
      <c r="H49" s="190"/>
      <c r="I49" s="190"/>
      <c r="J49" s="190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</row>
    <row r="50" spans="8:22" ht="12.75">
      <c r="H50" s="190"/>
      <c r="I50" s="190"/>
      <c r="J50" s="190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</row>
    <row r="51" spans="8:22" ht="12.75">
      <c r="H51" s="190"/>
      <c r="I51" s="190"/>
      <c r="J51" s="190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</row>
    <row r="52" spans="8:22" ht="12.75">
      <c r="H52" s="190"/>
      <c r="I52" s="190"/>
      <c r="J52" s="190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</row>
    <row r="53" spans="8:22" ht="12.75">
      <c r="H53" s="190"/>
      <c r="I53" s="190"/>
      <c r="J53" s="190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</row>
    <row r="54" spans="8:22" ht="12.75">
      <c r="H54" s="190"/>
      <c r="I54" s="190"/>
      <c r="J54" s="190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</row>
    <row r="55" spans="8:22" ht="12.75">
      <c r="H55" s="190"/>
      <c r="I55" s="190"/>
      <c r="J55" s="190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</row>
    <row r="56" spans="8:22" ht="12.75">
      <c r="H56" s="190"/>
      <c r="I56" s="190"/>
      <c r="J56" s="190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</row>
    <row r="57" spans="8:22" ht="12.75">
      <c r="H57" s="190"/>
      <c r="I57" s="190"/>
      <c r="J57" s="190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</row>
    <row r="58" spans="8:22" ht="12.75">
      <c r="H58" s="190"/>
      <c r="I58" s="190"/>
      <c r="J58" s="190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</row>
    <row r="59" spans="8:22" ht="12.75">
      <c r="H59" s="190"/>
      <c r="I59" s="190"/>
      <c r="J59" s="190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</row>
    <row r="60" spans="8:22" ht="12.75">
      <c r="H60" s="190"/>
      <c r="I60" s="190"/>
      <c r="J60" s="190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</row>
    <row r="61" spans="8:22" ht="12.75">
      <c r="H61" s="190"/>
      <c r="I61" s="190"/>
      <c r="J61" s="190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</row>
    <row r="62" spans="8:22" ht="12.75">
      <c r="H62" s="190"/>
      <c r="I62" s="190"/>
      <c r="J62" s="190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</row>
    <row r="63" spans="8:22" ht="12.75">
      <c r="H63" s="190"/>
      <c r="I63" s="190"/>
      <c r="J63" s="190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</row>
    <row r="64" spans="8:22" ht="12.75">
      <c r="H64" s="190"/>
      <c r="I64" s="190"/>
      <c r="J64" s="190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</row>
    <row r="65" spans="8:22" ht="12.75">
      <c r="H65" s="190"/>
      <c r="I65" s="190"/>
      <c r="J65" s="190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</row>
  </sheetData>
  <sheetProtection selectLockedCells="1"/>
  <mergeCells count="5">
    <mergeCell ref="B37:C37"/>
    <mergeCell ref="B17:F17"/>
    <mergeCell ref="C10:D10"/>
    <mergeCell ref="C12:D12"/>
    <mergeCell ref="C14:D14"/>
  </mergeCells>
  <dataValidations count="3">
    <dataValidation type="list" allowBlank="1" showInputMessage="1" showErrorMessage="1" sqref="H19">
      <formula1>$H$10:$H$13</formula1>
    </dataValidation>
    <dataValidation type="list" allowBlank="1" showInputMessage="1" showErrorMessage="1" sqref="E12">
      <formula1>$H$7:$H$11</formula1>
    </dataValidation>
    <dataValidation type="list" allowBlank="1" showInputMessage="1" showErrorMessage="1" sqref="E14">
      <formula1>$L$5:$L$12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headerFooter alignWithMargins="0">
    <oddFooter>&amp;CEmprunt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8:Q85"/>
  <sheetViews>
    <sheetView showGridLines="0" workbookViewId="0" topLeftCell="A1">
      <selection activeCell="F20" sqref="F20"/>
    </sheetView>
  </sheetViews>
  <sheetFormatPr defaultColWidth="11.421875" defaultRowHeight="12.75"/>
  <cols>
    <col min="1" max="1" width="8.8515625" style="0" customWidth="1"/>
    <col min="2" max="2" width="7.421875" style="0" customWidth="1"/>
    <col min="3" max="3" width="18.7109375" style="0" customWidth="1"/>
    <col min="4" max="4" width="15.7109375" style="0" customWidth="1"/>
    <col min="5" max="5" width="18.7109375" style="0" customWidth="1"/>
    <col min="6" max="6" width="15.7109375" style="0" customWidth="1"/>
    <col min="9" max="9" width="18.8515625" style="189" customWidth="1"/>
    <col min="10" max="10" width="16.8515625" style="0" customWidth="1"/>
    <col min="11" max="11" width="14.00390625" style="0" customWidth="1"/>
    <col min="12" max="12" width="16.28125" style="0" bestFit="1" customWidth="1"/>
  </cols>
  <sheetData>
    <row r="1" ht="9.75" customHeight="1"/>
    <row r="2" ht="9.75" customHeight="1"/>
    <row r="3" ht="9.75" customHeight="1"/>
    <row r="4" ht="9.75" customHeight="1"/>
    <row r="5" ht="9.75" customHeight="1"/>
    <row r="6" ht="9.75" customHeight="1"/>
    <row r="7" ht="9.75" customHeight="1"/>
    <row r="8" spans="10:16" ht="20.25" customHeight="1">
      <c r="J8" s="208"/>
      <c r="K8" s="208"/>
      <c r="L8" s="208"/>
      <c r="M8" s="208"/>
      <c r="N8" s="208"/>
      <c r="O8" s="208"/>
      <c r="P8" s="208"/>
    </row>
    <row r="9" spans="2:16" ht="18.75" customHeight="1">
      <c r="B9" s="563" t="s">
        <v>351</v>
      </c>
      <c r="C9" s="564"/>
      <c r="D9" s="564"/>
      <c r="E9" s="578"/>
      <c r="F9" s="291">
        <v>230</v>
      </c>
      <c r="J9" s="208"/>
      <c r="K9" s="208"/>
      <c r="L9" s="208"/>
      <c r="M9" s="208"/>
      <c r="N9" s="208"/>
      <c r="O9" s="208"/>
      <c r="P9" s="208"/>
    </row>
    <row r="10" spans="10:16" ht="9.75" customHeight="1">
      <c r="J10" s="208"/>
      <c r="K10" s="208"/>
      <c r="L10" s="208"/>
      <c r="M10" s="208"/>
      <c r="N10" s="208"/>
      <c r="O10" s="208"/>
      <c r="P10" s="208"/>
    </row>
    <row r="11" spans="2:16" ht="12.75">
      <c r="B11" s="105"/>
      <c r="C11" s="583" t="s">
        <v>361</v>
      </c>
      <c r="D11" s="583"/>
      <c r="E11" s="583"/>
      <c r="F11" s="584"/>
      <c r="J11" s="208"/>
      <c r="K11" s="208"/>
      <c r="L11" s="208"/>
      <c r="M11" s="208"/>
      <c r="N11" s="208"/>
      <c r="O11" s="208"/>
      <c r="P11" s="208"/>
    </row>
    <row r="12" spans="2:16" ht="15" customHeight="1">
      <c r="B12" s="580" t="s">
        <v>377</v>
      </c>
      <c r="C12" s="117" t="s">
        <v>217</v>
      </c>
      <c r="D12" s="289">
        <v>5000</v>
      </c>
      <c r="E12" s="118" t="s">
        <v>223</v>
      </c>
      <c r="F12" s="290">
        <v>15000</v>
      </c>
      <c r="J12" s="208"/>
      <c r="K12" s="208"/>
      <c r="L12" s="208"/>
      <c r="M12" s="208"/>
      <c r="N12" s="208"/>
      <c r="O12" s="208"/>
      <c r="P12" s="208"/>
    </row>
    <row r="13" spans="2:17" ht="15" customHeight="1">
      <c r="B13" s="581"/>
      <c r="C13" s="117" t="s">
        <v>218</v>
      </c>
      <c r="D13" s="289">
        <v>10000</v>
      </c>
      <c r="E13" s="118" t="s">
        <v>224</v>
      </c>
      <c r="F13" s="289">
        <v>15000</v>
      </c>
      <c r="H13" s="189"/>
      <c r="J13" s="208"/>
      <c r="K13" s="208"/>
      <c r="L13" s="208"/>
      <c r="M13" s="208"/>
      <c r="N13" s="208"/>
      <c r="O13" s="208"/>
      <c r="P13" s="208"/>
      <c r="Q13" s="189"/>
    </row>
    <row r="14" spans="2:17" ht="15" customHeight="1">
      <c r="B14" s="581"/>
      <c r="C14" s="117" t="s">
        <v>219</v>
      </c>
      <c r="D14" s="289">
        <v>10000</v>
      </c>
      <c r="E14" s="118" t="s">
        <v>225</v>
      </c>
      <c r="F14" s="289">
        <v>10000</v>
      </c>
      <c r="H14" s="189"/>
      <c r="J14" s="208"/>
      <c r="K14" s="208"/>
      <c r="L14" s="208"/>
      <c r="M14" s="208"/>
      <c r="N14" s="208"/>
      <c r="O14" s="208"/>
      <c r="P14" s="208"/>
      <c r="Q14" s="189"/>
    </row>
    <row r="15" spans="2:17" ht="15" customHeight="1">
      <c r="B15" s="581"/>
      <c r="C15" s="117" t="s">
        <v>220</v>
      </c>
      <c r="D15" s="289">
        <v>15000</v>
      </c>
      <c r="E15" s="118" t="s">
        <v>253</v>
      </c>
      <c r="F15" s="289">
        <v>10000</v>
      </c>
      <c r="H15" s="189"/>
      <c r="I15" s="189">
        <v>0</v>
      </c>
      <c r="J15" s="208"/>
      <c r="K15" s="208"/>
      <c r="L15" s="208"/>
      <c r="M15" s="208"/>
      <c r="N15" s="208"/>
      <c r="O15" s="208"/>
      <c r="P15" s="208"/>
      <c r="Q15" s="189"/>
    </row>
    <row r="16" spans="2:17" ht="15" customHeight="1">
      <c r="B16" s="581"/>
      <c r="C16" s="117" t="s">
        <v>221</v>
      </c>
      <c r="D16" s="289">
        <v>15000</v>
      </c>
      <c r="E16" s="118" t="s">
        <v>226</v>
      </c>
      <c r="F16" s="289">
        <v>20000</v>
      </c>
      <c r="H16" s="189"/>
      <c r="I16" s="189">
        <v>1</v>
      </c>
      <c r="J16" s="208"/>
      <c r="K16" s="208"/>
      <c r="L16" s="208"/>
      <c r="M16" s="208"/>
      <c r="N16" s="208"/>
      <c r="O16" s="208"/>
      <c r="P16" s="208"/>
      <c r="Q16" s="189"/>
    </row>
    <row r="17" spans="2:17" ht="15" customHeight="1">
      <c r="B17" s="582"/>
      <c r="C17" s="117" t="s">
        <v>222</v>
      </c>
      <c r="D17" s="289">
        <v>15000</v>
      </c>
      <c r="E17" s="118" t="s">
        <v>227</v>
      </c>
      <c r="F17" s="289">
        <v>20000</v>
      </c>
      <c r="H17" s="189"/>
      <c r="I17" s="189">
        <v>2</v>
      </c>
      <c r="J17" s="208"/>
      <c r="K17" s="208"/>
      <c r="L17" s="208"/>
      <c r="M17" s="208"/>
      <c r="N17" s="208"/>
      <c r="O17" s="208"/>
      <c r="P17" s="208"/>
      <c r="Q17" s="189"/>
    </row>
    <row r="18" spans="2:17" s="77" customFormat="1" ht="18.75" customHeight="1">
      <c r="B18" s="563" t="s">
        <v>365</v>
      </c>
      <c r="C18" s="564"/>
      <c r="D18" s="564"/>
      <c r="E18" s="578"/>
      <c r="F18" s="106">
        <f>SUM(D12:D17,F12:F17)</f>
        <v>160000</v>
      </c>
      <c r="H18" s="203"/>
      <c r="I18" s="203">
        <v>3</v>
      </c>
      <c r="J18" s="228"/>
      <c r="K18" s="228"/>
      <c r="L18" s="228"/>
      <c r="M18" s="228"/>
      <c r="N18" s="228"/>
      <c r="O18" s="228"/>
      <c r="P18" s="228"/>
      <c r="Q18" s="203"/>
    </row>
    <row r="19" spans="2:17" ht="18.75" customHeight="1">
      <c r="B19" s="571" t="s">
        <v>362</v>
      </c>
      <c r="C19" s="572"/>
      <c r="D19" s="572"/>
      <c r="E19" s="579"/>
      <c r="F19" s="186">
        <f>achatsproduction/joursactivite</f>
        <v>695.6521739130435</v>
      </c>
      <c r="H19" s="189"/>
      <c r="J19" s="208"/>
      <c r="K19" s="208"/>
      <c r="L19" s="208"/>
      <c r="M19" s="208"/>
      <c r="N19" s="208"/>
      <c r="O19" s="208"/>
      <c r="P19" s="208"/>
      <c r="Q19" s="189"/>
    </row>
    <row r="20" spans="2:17" ht="18.75" customHeight="1">
      <c r="B20" s="563" t="s">
        <v>446</v>
      </c>
      <c r="C20" s="564"/>
      <c r="D20" s="564"/>
      <c r="E20" s="564"/>
      <c r="F20" s="378">
        <v>0</v>
      </c>
      <c r="H20" s="189"/>
      <c r="J20" s="208"/>
      <c r="K20" s="208"/>
      <c r="L20" s="208"/>
      <c r="M20" s="208"/>
      <c r="N20" s="208"/>
      <c r="O20" s="208"/>
      <c r="P20" s="208"/>
      <c r="Q20" s="189"/>
    </row>
    <row r="21" spans="2:17" ht="27" customHeight="1">
      <c r="B21" s="103"/>
      <c r="C21" s="90"/>
      <c r="D21" s="90"/>
      <c r="E21" s="90"/>
      <c r="F21" s="109"/>
      <c r="H21" s="189"/>
      <c r="J21" s="208"/>
      <c r="K21" s="208"/>
      <c r="L21" s="208"/>
      <c r="M21" s="208"/>
      <c r="N21" s="208"/>
      <c r="O21" s="208"/>
      <c r="P21" s="208"/>
      <c r="Q21" s="189"/>
    </row>
    <row r="22" spans="2:17" ht="18.75" customHeight="1">
      <c r="B22" s="568" t="s">
        <v>373</v>
      </c>
      <c r="C22" s="569"/>
      <c r="D22" s="569"/>
      <c r="E22" s="569"/>
      <c r="F22" s="570"/>
      <c r="H22" s="189"/>
      <c r="J22" s="208"/>
      <c r="K22" s="208"/>
      <c r="L22" s="208"/>
      <c r="M22" s="208"/>
      <c r="N22" s="208"/>
      <c r="O22" s="208"/>
      <c r="P22" s="208"/>
      <c r="Q22" s="189"/>
    </row>
    <row r="23" spans="2:17" ht="18.75" customHeight="1">
      <c r="B23" s="573" t="s">
        <v>374</v>
      </c>
      <c r="C23" s="574"/>
      <c r="D23" s="574"/>
      <c r="E23" s="574"/>
      <c r="F23" s="292">
        <v>5</v>
      </c>
      <c r="H23" s="189"/>
      <c r="J23" s="189"/>
      <c r="K23" s="189"/>
      <c r="L23" s="189"/>
      <c r="M23" s="189"/>
      <c r="N23" s="189"/>
      <c r="O23" s="208"/>
      <c r="P23" s="208"/>
      <c r="Q23" s="189"/>
    </row>
    <row r="24" spans="2:17" s="80" customFormat="1" ht="18.75" customHeight="1">
      <c r="B24" s="566" t="s">
        <v>375</v>
      </c>
      <c r="C24" s="567"/>
      <c r="D24" s="567"/>
      <c r="E24" s="567"/>
      <c r="F24" s="116">
        <f>F19*F23</f>
        <v>3478.2608695652175</v>
      </c>
      <c r="H24" s="204"/>
      <c r="I24" s="267">
        <f>0-stockfinal</f>
        <v>-3478.2608695652175</v>
      </c>
      <c r="J24" s="204"/>
      <c r="K24" s="204"/>
      <c r="L24" s="204"/>
      <c r="M24" s="204"/>
      <c r="N24" s="204"/>
      <c r="O24" s="229"/>
      <c r="P24" s="229"/>
      <c r="Q24" s="204"/>
    </row>
    <row r="25" spans="2:17" s="80" customFormat="1" ht="21.75" customHeight="1">
      <c r="B25" s="571" t="s">
        <v>400</v>
      </c>
      <c r="C25" s="572"/>
      <c r="D25" s="572"/>
      <c r="E25" s="572"/>
      <c r="F25" s="187">
        <f>achatsproduction+stockfinal</f>
        <v>163478.26086956522</v>
      </c>
      <c r="H25" s="204"/>
      <c r="I25" s="267"/>
      <c r="J25" s="204"/>
      <c r="K25" s="204"/>
      <c r="L25" s="204"/>
      <c r="M25" s="204"/>
      <c r="N25" s="204"/>
      <c r="O25" s="229"/>
      <c r="P25" s="229"/>
      <c r="Q25" s="204"/>
    </row>
    <row r="26" spans="2:17" ht="9.75" customHeight="1">
      <c r="B26" s="103"/>
      <c r="C26" s="103"/>
      <c r="D26" s="103"/>
      <c r="E26" s="103"/>
      <c r="F26" s="103"/>
      <c r="H26" s="189"/>
      <c r="J26" s="189"/>
      <c r="K26" s="189"/>
      <c r="L26" s="189"/>
      <c r="M26" s="189"/>
      <c r="N26" s="189"/>
      <c r="O26" s="209"/>
      <c r="P26" s="209"/>
      <c r="Q26" s="189"/>
    </row>
    <row r="27" spans="8:17" ht="9.75" customHeight="1">
      <c r="H27" s="189"/>
      <c r="J27" s="189"/>
      <c r="K27" s="189"/>
      <c r="L27" s="189"/>
      <c r="M27" s="189"/>
      <c r="N27" s="189"/>
      <c r="O27" s="209"/>
      <c r="P27" s="209"/>
      <c r="Q27" s="189"/>
    </row>
    <row r="28" spans="2:17" ht="12.75">
      <c r="B28" s="588" t="s">
        <v>360</v>
      </c>
      <c r="C28" s="589"/>
      <c r="D28" s="589"/>
      <c r="E28" s="589"/>
      <c r="F28" s="589"/>
      <c r="H28" s="189"/>
      <c r="J28" s="189"/>
      <c r="K28" s="189"/>
      <c r="L28" s="189"/>
      <c r="M28" s="189"/>
      <c r="N28" s="189"/>
      <c r="O28" s="209"/>
      <c r="P28" s="209"/>
      <c r="Q28" s="189"/>
    </row>
    <row r="29" spans="2:17" ht="12.75">
      <c r="B29" s="94"/>
      <c r="C29" s="95"/>
      <c r="D29" s="95"/>
      <c r="E29" s="95"/>
      <c r="F29" s="96"/>
      <c r="G29" s="4"/>
      <c r="H29" s="189"/>
      <c r="J29" s="189"/>
      <c r="K29" s="189"/>
      <c r="L29" s="189"/>
      <c r="M29" s="189"/>
      <c r="N29" s="189"/>
      <c r="O29" s="209"/>
      <c r="P29" s="209"/>
      <c r="Q29" s="189"/>
    </row>
    <row r="30" spans="2:17" ht="12.75">
      <c r="B30" s="566" t="s">
        <v>348</v>
      </c>
      <c r="C30" s="567"/>
      <c r="D30" s="567"/>
      <c r="E30" s="97">
        <f>'C.A. prévisionnel'!J21</f>
        <v>175000</v>
      </c>
      <c r="F30" s="98" t="s">
        <v>349</v>
      </c>
      <c r="G30" s="102"/>
      <c r="H30" s="189"/>
      <c r="I30" s="267"/>
      <c r="J30" s="189"/>
      <c r="K30" s="189"/>
      <c r="L30" s="189"/>
      <c r="M30" s="189"/>
      <c r="N30" s="189"/>
      <c r="O30" s="209"/>
      <c r="P30" s="209"/>
      <c r="Q30" s="189"/>
    </row>
    <row r="31" spans="2:17" ht="12.75">
      <c r="B31" s="566" t="s">
        <v>350</v>
      </c>
      <c r="C31" s="567"/>
      <c r="D31" s="567"/>
      <c r="E31" s="567"/>
      <c r="F31" s="98"/>
      <c r="G31" s="102"/>
      <c r="H31" s="189"/>
      <c r="J31" s="189"/>
      <c r="K31" s="189"/>
      <c r="L31" s="189"/>
      <c r="M31" s="189"/>
      <c r="N31" s="189"/>
      <c r="O31" s="209"/>
      <c r="P31" s="209"/>
      <c r="Q31" s="189"/>
    </row>
    <row r="32" spans="2:17" ht="12.75">
      <c r="B32" s="99"/>
      <c r="C32" s="100"/>
      <c r="D32" s="100"/>
      <c r="E32" s="100"/>
      <c r="F32" s="101"/>
      <c r="G32" s="4"/>
      <c r="H32" s="189"/>
      <c r="J32" s="189"/>
      <c r="K32" s="189"/>
      <c r="L32" s="189"/>
      <c r="M32" s="189"/>
      <c r="N32" s="189"/>
      <c r="O32" s="209"/>
      <c r="P32" s="209"/>
      <c r="Q32" s="189"/>
    </row>
    <row r="33" spans="2:17" ht="19.5" customHeight="1">
      <c r="B33" s="571" t="s">
        <v>352</v>
      </c>
      <c r="C33" s="572"/>
      <c r="D33" s="572"/>
      <c r="E33" s="112">
        <f>E30/F9</f>
        <v>760.8695652173913</v>
      </c>
      <c r="F33" s="113" t="s">
        <v>353</v>
      </c>
      <c r="G33" s="93"/>
      <c r="H33" s="205"/>
      <c r="I33" s="268"/>
      <c r="J33" s="189"/>
      <c r="K33" s="189"/>
      <c r="L33" s="189"/>
      <c r="M33" s="189"/>
      <c r="N33" s="189"/>
      <c r="O33" s="209"/>
      <c r="P33" s="209"/>
      <c r="Q33" s="189"/>
    </row>
    <row r="34" spans="8:17" ht="9.75" customHeight="1">
      <c r="H34" s="189"/>
      <c r="I34" s="190"/>
      <c r="J34" s="190"/>
      <c r="K34" s="190"/>
      <c r="L34" s="190"/>
      <c r="M34" s="189"/>
      <c r="N34" s="189"/>
      <c r="O34" s="209"/>
      <c r="P34" s="209"/>
      <c r="Q34" s="189"/>
    </row>
    <row r="35" spans="2:17" ht="19.5" customHeight="1">
      <c r="B35" s="568" t="s">
        <v>354</v>
      </c>
      <c r="C35" s="569"/>
      <c r="D35" s="569"/>
      <c r="E35" s="569"/>
      <c r="F35" s="570"/>
      <c r="H35" s="189"/>
      <c r="I35" s="190"/>
      <c r="J35" s="190"/>
      <c r="K35" s="190"/>
      <c r="L35" s="190"/>
      <c r="M35" s="189"/>
      <c r="N35" s="189"/>
      <c r="O35" s="209"/>
      <c r="P35" s="209"/>
      <c r="Q35" s="189"/>
    </row>
    <row r="36" spans="2:17" s="77" customFormat="1" ht="19.5" customHeight="1">
      <c r="B36" s="573" t="s">
        <v>355</v>
      </c>
      <c r="C36" s="574"/>
      <c r="D36" s="574"/>
      <c r="E36" s="574"/>
      <c r="F36" s="292">
        <v>3</v>
      </c>
      <c r="H36" s="203"/>
      <c r="I36" s="585" t="s">
        <v>364</v>
      </c>
      <c r="J36" s="585"/>
      <c r="K36" s="585"/>
      <c r="L36" s="269">
        <f>F18/E30</f>
        <v>0.9142857142857143</v>
      </c>
      <c r="M36" s="203"/>
      <c r="N36" s="203"/>
      <c r="O36" s="230"/>
      <c r="P36" s="230"/>
      <c r="Q36" s="203"/>
    </row>
    <row r="37" spans="2:17" ht="19.5" customHeight="1">
      <c r="B37" s="586" t="s">
        <v>357</v>
      </c>
      <c r="C37" s="587"/>
      <c r="D37" s="587"/>
      <c r="E37" s="110">
        <f>E33*F36</f>
        <v>2282.608695652174</v>
      </c>
      <c r="F37" s="114" t="s">
        <v>349</v>
      </c>
      <c r="H37" s="189"/>
      <c r="I37" s="190"/>
      <c r="J37" s="190"/>
      <c r="K37" s="190"/>
      <c r="L37" s="190"/>
      <c r="M37" s="189"/>
      <c r="N37" s="189"/>
      <c r="O37" s="209"/>
      <c r="P37" s="209"/>
      <c r="Q37" s="189"/>
    </row>
    <row r="38" spans="2:17" s="77" customFormat="1" ht="19.5" customHeight="1">
      <c r="B38" s="571" t="s">
        <v>358</v>
      </c>
      <c r="C38" s="572"/>
      <c r="D38" s="572"/>
      <c r="E38" s="112">
        <f>E30+E37</f>
        <v>177282.60869565216</v>
      </c>
      <c r="F38" s="115" t="s">
        <v>359</v>
      </c>
      <c r="H38" s="203"/>
      <c r="I38" s="263"/>
      <c r="J38" s="263"/>
      <c r="K38" s="263"/>
      <c r="L38" s="263"/>
      <c r="M38" s="203"/>
      <c r="N38" s="203"/>
      <c r="O38" s="230"/>
      <c r="P38" s="230"/>
      <c r="Q38" s="203"/>
    </row>
    <row r="39" spans="8:17" ht="7.5" customHeight="1">
      <c r="H39" s="189"/>
      <c r="I39" s="190"/>
      <c r="J39" s="190"/>
      <c r="K39" s="190"/>
      <c r="L39" s="190"/>
      <c r="M39" s="189"/>
      <c r="N39" s="189"/>
      <c r="O39" s="209"/>
      <c r="P39" s="209"/>
      <c r="Q39" s="189"/>
    </row>
    <row r="40" spans="2:17" ht="18.75" customHeight="1" hidden="1">
      <c r="B40" s="577" t="s">
        <v>363</v>
      </c>
      <c r="C40" s="577"/>
      <c r="D40" s="577"/>
      <c r="E40" s="577"/>
      <c r="F40" s="188">
        <f>L36*E38</f>
        <v>162086.9565217391</v>
      </c>
      <c r="H40" s="189"/>
      <c r="I40" s="585" t="s">
        <v>368</v>
      </c>
      <c r="J40" s="585"/>
      <c r="K40" s="270"/>
      <c r="L40" s="190"/>
      <c r="M40" s="189"/>
      <c r="N40" s="189"/>
      <c r="O40" s="209"/>
      <c r="P40" s="209"/>
      <c r="Q40" s="189"/>
    </row>
    <row r="41" spans="8:17" ht="9.75" customHeight="1">
      <c r="H41" s="189"/>
      <c r="I41" s="190"/>
      <c r="J41" s="190"/>
      <c r="K41" s="190"/>
      <c r="L41" s="190"/>
      <c r="M41" s="189"/>
      <c r="N41" s="189"/>
      <c r="O41" s="209"/>
      <c r="P41" s="209"/>
      <c r="Q41" s="189"/>
    </row>
    <row r="42" spans="2:17" ht="18.75" customHeight="1">
      <c r="B42" s="575" t="s">
        <v>366</v>
      </c>
      <c r="C42" s="576"/>
      <c r="D42" s="576"/>
      <c r="E42" s="107">
        <f>F36</f>
        <v>3</v>
      </c>
      <c r="F42" s="108" t="s">
        <v>317</v>
      </c>
      <c r="H42" s="189"/>
      <c r="I42" s="271" t="s">
        <v>439</v>
      </c>
      <c r="J42" s="272">
        <f>dap1+dap2</f>
        <v>11250</v>
      </c>
      <c r="K42" s="190"/>
      <c r="L42" s="190"/>
      <c r="M42" s="189"/>
      <c r="N42" s="189"/>
      <c r="O42" s="209"/>
      <c r="P42" s="209"/>
      <c r="Q42" s="189"/>
    </row>
    <row r="43" spans="2:17" ht="18.75" customHeight="1">
      <c r="B43" s="573" t="s">
        <v>367</v>
      </c>
      <c r="C43" s="574"/>
      <c r="D43" s="574"/>
      <c r="E43" s="574"/>
      <c r="F43" s="116">
        <f>F19*E42</f>
        <v>2086.9565217391305</v>
      </c>
      <c r="H43" s="189"/>
      <c r="I43" s="271" t="s">
        <v>0</v>
      </c>
      <c r="J43" s="272">
        <f>charges</f>
        <v>429000</v>
      </c>
      <c r="K43" s="190"/>
      <c r="L43" s="190"/>
      <c r="M43" s="189"/>
      <c r="N43" s="189"/>
      <c r="O43" s="209"/>
      <c r="P43" s="209"/>
      <c r="Q43" s="189"/>
    </row>
    <row r="44" spans="2:17" ht="12.75">
      <c r="B44" s="566" t="s">
        <v>376</v>
      </c>
      <c r="C44" s="567"/>
      <c r="D44" s="567"/>
      <c r="E44" s="567"/>
      <c r="F44" s="111">
        <f>(J47/E38)*E37</f>
        <v>8345.954392759482</v>
      </c>
      <c r="H44" s="189"/>
      <c r="I44" s="271" t="s">
        <v>257</v>
      </c>
      <c r="J44" s="272">
        <f>IF(interets="",0,interets)</f>
        <v>1170.0375634998072</v>
      </c>
      <c r="K44" s="190"/>
      <c r="L44" s="190"/>
      <c r="M44" s="189"/>
      <c r="N44" s="189"/>
      <c r="O44" s="209"/>
      <c r="P44" s="209"/>
      <c r="Q44" s="189"/>
    </row>
    <row r="45" spans="1:17" ht="19.5" customHeight="1">
      <c r="A45" s="103"/>
      <c r="B45" s="571" t="s">
        <v>401</v>
      </c>
      <c r="C45" s="572"/>
      <c r="D45" s="572"/>
      <c r="E45" s="572"/>
      <c r="F45" s="187">
        <f>totalachatsmp+achatenplus</f>
        <v>165565.21739130435</v>
      </c>
      <c r="H45" s="189"/>
      <c r="I45" s="271" t="s">
        <v>372</v>
      </c>
      <c r="J45" s="272">
        <f>totaldesachatsmp</f>
        <v>165565.21739130435</v>
      </c>
      <c r="K45" s="190"/>
      <c r="L45" s="190"/>
      <c r="M45" s="189"/>
      <c r="N45" s="189"/>
      <c r="O45" s="209"/>
      <c r="P45" s="209"/>
      <c r="Q45" s="189"/>
    </row>
    <row r="46" spans="1:17" ht="12" customHeight="1">
      <c r="A46" s="103"/>
      <c r="B46" s="102"/>
      <c r="C46" s="102"/>
      <c r="D46" s="102"/>
      <c r="E46" s="104"/>
      <c r="H46" s="189"/>
      <c r="I46" s="271" t="s">
        <v>262</v>
      </c>
      <c r="J46" s="272">
        <f>budgetpub</f>
        <v>41217.20288284894</v>
      </c>
      <c r="K46" s="190"/>
      <c r="L46" s="190"/>
      <c r="M46" s="189"/>
      <c r="N46" s="189"/>
      <c r="O46" s="209"/>
      <c r="P46" s="209"/>
      <c r="Q46" s="189"/>
    </row>
    <row r="47" spans="2:17" ht="18.75" customHeight="1">
      <c r="B47" s="563" t="s">
        <v>378</v>
      </c>
      <c r="C47" s="564"/>
      <c r="D47" s="564"/>
      <c r="E47" s="564"/>
      <c r="F47" s="106">
        <f>cout_unitaire*E30</f>
        <v>639856.5034448936</v>
      </c>
      <c r="H47" s="189"/>
      <c r="I47" s="271" t="s">
        <v>172</v>
      </c>
      <c r="J47" s="272">
        <f>IF(SUM(J42:J46)="",0,SUM(J42:J46))</f>
        <v>648202.4578376531</v>
      </c>
      <c r="K47" s="190"/>
      <c r="L47" s="190"/>
      <c r="M47" s="189"/>
      <c r="N47" s="189"/>
      <c r="O47" s="209"/>
      <c r="P47" s="209"/>
      <c r="Q47" s="189"/>
    </row>
    <row r="48" spans="2:17" ht="18.75" customHeight="1">
      <c r="B48" s="563" t="s">
        <v>379</v>
      </c>
      <c r="C48" s="564"/>
      <c r="D48" s="564"/>
      <c r="E48" s="564"/>
      <c r="F48" s="106">
        <f>cout_unitaire*E37</f>
        <v>8345.954392759482</v>
      </c>
      <c r="H48" s="189"/>
      <c r="I48" s="271" t="s">
        <v>408</v>
      </c>
      <c r="J48" s="272">
        <f>cout_total_production/E38</f>
        <v>3.656322876827964</v>
      </c>
      <c r="K48" s="190"/>
      <c r="L48" s="190"/>
      <c r="M48" s="189"/>
      <c r="N48" s="189"/>
      <c r="O48" s="209"/>
      <c r="P48" s="209"/>
      <c r="Q48" s="189"/>
    </row>
    <row r="49" spans="2:17" ht="18.75" customHeight="1">
      <c r="B49" s="563" t="s">
        <v>440</v>
      </c>
      <c r="C49" s="564"/>
      <c r="D49" s="564"/>
      <c r="E49" s="564"/>
      <c r="F49" s="106">
        <f>cout_total_production</f>
        <v>648202.4578376531</v>
      </c>
      <c r="H49" s="189"/>
      <c r="I49" s="204"/>
      <c r="J49" s="204"/>
      <c r="K49" s="189"/>
      <c r="L49" s="189"/>
      <c r="M49" s="189"/>
      <c r="N49" s="189"/>
      <c r="O49" s="209"/>
      <c r="P49" s="209"/>
      <c r="Q49" s="189"/>
    </row>
    <row r="50" spans="8:17" ht="9.75" customHeight="1">
      <c r="H50" s="189"/>
      <c r="I50" s="273">
        <f>F47+F48</f>
        <v>648202.4578376531</v>
      </c>
      <c r="J50" s="189"/>
      <c r="K50" s="189"/>
      <c r="L50" s="189"/>
      <c r="M50" s="189"/>
      <c r="N50" s="189"/>
      <c r="O50" s="209"/>
      <c r="P50" s="209"/>
      <c r="Q50" s="189"/>
    </row>
    <row r="51" spans="8:17" ht="12.75">
      <c r="H51" s="189"/>
      <c r="J51" s="189"/>
      <c r="K51" s="189"/>
      <c r="L51" s="189"/>
      <c r="M51" s="189"/>
      <c r="N51" s="189"/>
      <c r="O51" s="209"/>
      <c r="P51" s="209"/>
      <c r="Q51" s="189"/>
    </row>
    <row r="52" spans="8:17" ht="12.75">
      <c r="H52" s="189"/>
      <c r="J52" s="189"/>
      <c r="K52" s="189"/>
      <c r="L52" s="189"/>
      <c r="M52" s="189"/>
      <c r="N52" s="189"/>
      <c r="O52" s="189"/>
      <c r="P52" s="189"/>
      <c r="Q52" s="189"/>
    </row>
    <row r="53" spans="8:17" ht="12.75">
      <c r="H53" s="189"/>
      <c r="J53" s="189"/>
      <c r="K53" s="189"/>
      <c r="L53" s="189"/>
      <c r="M53" s="189"/>
      <c r="N53" s="189"/>
      <c r="O53" s="189"/>
      <c r="P53" s="189"/>
      <c r="Q53" s="189"/>
    </row>
    <row r="54" spans="8:17" ht="12.75">
      <c r="H54" s="189"/>
      <c r="J54" s="189"/>
      <c r="K54" s="189"/>
      <c r="L54" s="189"/>
      <c r="M54" s="189"/>
      <c r="N54" s="189"/>
      <c r="O54" s="189"/>
      <c r="P54" s="189"/>
      <c r="Q54" s="189"/>
    </row>
    <row r="55" spans="8:17" ht="12.75">
      <c r="H55" s="189"/>
      <c r="J55" s="189"/>
      <c r="K55" s="189"/>
      <c r="L55" s="189"/>
      <c r="M55" s="189"/>
      <c r="N55" s="189"/>
      <c r="O55" s="189"/>
      <c r="P55" s="189"/>
      <c r="Q55" s="189"/>
    </row>
    <row r="56" spans="8:17" ht="12.75">
      <c r="H56" s="189"/>
      <c r="J56" s="189"/>
      <c r="K56" s="189"/>
      <c r="L56" s="189"/>
      <c r="M56" s="189"/>
      <c r="N56" s="189"/>
      <c r="O56" s="189"/>
      <c r="P56" s="189"/>
      <c r="Q56" s="189"/>
    </row>
    <row r="57" spans="8:17" ht="12.75">
      <c r="H57" s="189"/>
      <c r="J57" s="189"/>
      <c r="K57" s="189"/>
      <c r="L57" s="189"/>
      <c r="M57" s="189"/>
      <c r="N57" s="189"/>
      <c r="O57" s="189"/>
      <c r="P57" s="189"/>
      <c r="Q57" s="189"/>
    </row>
    <row r="58" spans="8:17" ht="12.75">
      <c r="H58" s="189"/>
      <c r="J58" s="189"/>
      <c r="K58" s="189"/>
      <c r="L58" s="189"/>
      <c r="M58" s="189"/>
      <c r="N58" s="189"/>
      <c r="O58" s="189"/>
      <c r="P58" s="189"/>
      <c r="Q58" s="189"/>
    </row>
    <row r="59" spans="8:17" ht="12.75">
      <c r="H59" s="189"/>
      <c r="J59" s="189"/>
      <c r="K59" s="189"/>
      <c r="L59" s="189"/>
      <c r="M59" s="189"/>
      <c r="N59" s="189"/>
      <c r="O59" s="189"/>
      <c r="P59" s="189"/>
      <c r="Q59" s="189"/>
    </row>
    <row r="60" spans="8:17" ht="12.75">
      <c r="H60" s="189"/>
      <c r="J60" s="189"/>
      <c r="K60" s="189"/>
      <c r="L60" s="189"/>
      <c r="M60" s="189"/>
      <c r="N60" s="189"/>
      <c r="O60" s="189"/>
      <c r="P60" s="189"/>
      <c r="Q60" s="189"/>
    </row>
    <row r="61" spans="8:17" ht="12.75">
      <c r="H61" s="189"/>
      <c r="J61" s="189"/>
      <c r="K61" s="189"/>
      <c r="L61" s="189"/>
      <c r="M61" s="189"/>
      <c r="N61" s="189"/>
      <c r="O61" s="189"/>
      <c r="P61" s="189"/>
      <c r="Q61" s="189"/>
    </row>
    <row r="62" spans="8:17" ht="12.75">
      <c r="H62" s="189"/>
      <c r="J62" s="189"/>
      <c r="K62" s="189"/>
      <c r="L62" s="189"/>
      <c r="M62" s="189"/>
      <c r="N62" s="189"/>
      <c r="O62" s="189"/>
      <c r="P62" s="189"/>
      <c r="Q62" s="189"/>
    </row>
    <row r="63" spans="8:17" ht="12.75">
      <c r="H63" s="189"/>
      <c r="J63" s="189"/>
      <c r="K63" s="189"/>
      <c r="L63" s="189"/>
      <c r="M63" s="189"/>
      <c r="N63" s="189"/>
      <c r="O63" s="189"/>
      <c r="P63" s="189"/>
      <c r="Q63" s="189"/>
    </row>
    <row r="64" spans="8:17" ht="12.75">
      <c r="H64" s="189"/>
      <c r="J64" s="189"/>
      <c r="K64" s="189"/>
      <c r="L64" s="189"/>
      <c r="M64" s="189"/>
      <c r="N64" s="189"/>
      <c r="O64" s="189"/>
      <c r="P64" s="189"/>
      <c r="Q64" s="189"/>
    </row>
    <row r="65" spans="8:17" ht="12.75">
      <c r="H65" s="189"/>
      <c r="J65" s="189"/>
      <c r="K65" s="189"/>
      <c r="L65" s="189"/>
      <c r="M65" s="189"/>
      <c r="N65" s="189"/>
      <c r="O65" s="189"/>
      <c r="P65" s="189"/>
      <c r="Q65" s="189"/>
    </row>
    <row r="66" spans="8:17" ht="12.75">
      <c r="H66" s="189"/>
      <c r="J66" s="189"/>
      <c r="K66" s="189"/>
      <c r="L66" s="189"/>
      <c r="M66" s="189"/>
      <c r="N66" s="189"/>
      <c r="O66" s="189"/>
      <c r="P66" s="189"/>
      <c r="Q66" s="189"/>
    </row>
    <row r="67" spans="8:17" ht="12.75">
      <c r="H67" s="189"/>
      <c r="J67" s="189"/>
      <c r="K67" s="189"/>
      <c r="L67" s="189"/>
      <c r="M67" s="189"/>
      <c r="N67" s="189"/>
      <c r="O67" s="189"/>
      <c r="P67" s="189"/>
      <c r="Q67" s="189"/>
    </row>
    <row r="68" spans="8:17" ht="12.75">
      <c r="H68" s="189"/>
      <c r="J68" s="189"/>
      <c r="K68" s="189"/>
      <c r="L68" s="189"/>
      <c r="M68" s="189"/>
      <c r="N68" s="189"/>
      <c r="O68" s="189"/>
      <c r="P68" s="189"/>
      <c r="Q68" s="189"/>
    </row>
    <row r="69" spans="8:17" ht="12.75">
      <c r="H69" s="189"/>
      <c r="J69" s="189"/>
      <c r="K69" s="189"/>
      <c r="L69" s="189"/>
      <c r="M69" s="189"/>
      <c r="N69" s="189"/>
      <c r="O69" s="189"/>
      <c r="P69" s="189"/>
      <c r="Q69" s="189"/>
    </row>
    <row r="70" spans="8:17" ht="12.75">
      <c r="H70" s="189"/>
      <c r="J70" s="189"/>
      <c r="K70" s="189"/>
      <c r="L70" s="189"/>
      <c r="M70" s="189"/>
      <c r="N70" s="189"/>
      <c r="O70" s="189"/>
      <c r="P70" s="189"/>
      <c r="Q70" s="189"/>
    </row>
    <row r="71" spans="8:17" ht="12.75">
      <c r="H71" s="189"/>
      <c r="J71" s="189"/>
      <c r="K71" s="189"/>
      <c r="L71" s="189"/>
      <c r="M71" s="189"/>
      <c r="N71" s="189"/>
      <c r="O71" s="189"/>
      <c r="P71" s="189"/>
      <c r="Q71" s="189"/>
    </row>
    <row r="72" spans="8:14" ht="12.75">
      <c r="H72" s="189"/>
      <c r="J72" s="189"/>
      <c r="K72" s="189"/>
      <c r="L72" s="189"/>
      <c r="M72" s="189"/>
      <c r="N72" s="189"/>
    </row>
    <row r="73" spans="8:14" ht="12.75">
      <c r="H73" s="189"/>
      <c r="J73" s="189"/>
      <c r="K73" s="189"/>
      <c r="L73" s="189"/>
      <c r="M73" s="189"/>
      <c r="N73" s="189"/>
    </row>
    <row r="74" spans="8:14" ht="12.75">
      <c r="H74" s="189"/>
      <c r="J74" s="189"/>
      <c r="K74" s="189"/>
      <c r="L74" s="189"/>
      <c r="M74" s="189"/>
      <c r="N74" s="189"/>
    </row>
    <row r="75" spans="8:14" ht="12.75">
      <c r="H75" s="189"/>
      <c r="J75" s="189"/>
      <c r="K75" s="189"/>
      <c r="L75" s="189"/>
      <c r="M75" s="189"/>
      <c r="N75" s="189"/>
    </row>
    <row r="76" spans="8:14" ht="12.75">
      <c r="H76" s="189"/>
      <c r="J76" s="189"/>
      <c r="K76" s="189"/>
      <c r="L76" s="189"/>
      <c r="M76" s="189"/>
      <c r="N76" s="189"/>
    </row>
    <row r="77" spans="8:14" ht="12.75">
      <c r="H77" s="189"/>
      <c r="J77" s="189"/>
      <c r="K77" s="189"/>
      <c r="L77" s="189"/>
      <c r="M77" s="189"/>
      <c r="N77" s="189"/>
    </row>
    <row r="78" spans="8:14" ht="12.75">
      <c r="H78" s="189"/>
      <c r="J78" s="189"/>
      <c r="K78" s="189"/>
      <c r="L78" s="189"/>
      <c r="M78" s="189"/>
      <c r="N78" s="189"/>
    </row>
    <row r="79" spans="8:14" ht="12.75">
      <c r="H79" s="189"/>
      <c r="J79" s="189"/>
      <c r="K79" s="189"/>
      <c r="L79" s="189"/>
      <c r="M79" s="189"/>
      <c r="N79" s="189"/>
    </row>
    <row r="80" spans="8:14" ht="12.75">
      <c r="H80" s="189"/>
      <c r="J80" s="189"/>
      <c r="K80" s="189"/>
      <c r="L80" s="189"/>
      <c r="M80" s="189"/>
      <c r="N80" s="189"/>
    </row>
    <row r="81" spans="8:14" ht="12.75">
      <c r="H81" s="189"/>
      <c r="J81" s="189"/>
      <c r="K81" s="189"/>
      <c r="L81" s="189"/>
      <c r="M81" s="189"/>
      <c r="N81" s="189"/>
    </row>
    <row r="82" spans="8:14" ht="12.75">
      <c r="H82" s="189"/>
      <c r="J82" s="189"/>
      <c r="K82" s="189"/>
      <c r="L82" s="189"/>
      <c r="M82" s="189"/>
      <c r="N82" s="189"/>
    </row>
    <row r="83" spans="8:14" ht="12.75">
      <c r="H83" s="189"/>
      <c r="J83" s="189"/>
      <c r="K83" s="189"/>
      <c r="L83" s="189"/>
      <c r="M83" s="189"/>
      <c r="N83" s="189"/>
    </row>
    <row r="84" spans="8:14" ht="12.75">
      <c r="H84" s="189"/>
      <c r="J84" s="189"/>
      <c r="K84" s="189"/>
      <c r="L84" s="189"/>
      <c r="M84" s="189"/>
      <c r="N84" s="189"/>
    </row>
    <row r="85" spans="8:14" ht="12.75">
      <c r="H85" s="189"/>
      <c r="J85" s="189"/>
      <c r="K85" s="189"/>
      <c r="L85" s="189"/>
      <c r="M85" s="189"/>
      <c r="N85" s="189"/>
    </row>
  </sheetData>
  <sheetProtection password="B702" sheet="1" objects="1" scenarios="1" selectLockedCells="1"/>
  <mergeCells count="28">
    <mergeCell ref="I40:J40"/>
    <mergeCell ref="B36:E36"/>
    <mergeCell ref="B38:D38"/>
    <mergeCell ref="B22:F22"/>
    <mergeCell ref="B23:E23"/>
    <mergeCell ref="I36:K36"/>
    <mergeCell ref="B37:D37"/>
    <mergeCell ref="B24:E24"/>
    <mergeCell ref="B25:E25"/>
    <mergeCell ref="B28:F28"/>
    <mergeCell ref="B31:E31"/>
    <mergeCell ref="B40:E40"/>
    <mergeCell ref="B33:D33"/>
    <mergeCell ref="B9:E9"/>
    <mergeCell ref="B18:E18"/>
    <mergeCell ref="B19:E19"/>
    <mergeCell ref="B12:B17"/>
    <mergeCell ref="C11:F11"/>
    <mergeCell ref="B20:E20"/>
    <mergeCell ref="B30:D30"/>
    <mergeCell ref="B49:E49"/>
    <mergeCell ref="B44:E44"/>
    <mergeCell ref="B47:E47"/>
    <mergeCell ref="B35:F35"/>
    <mergeCell ref="B45:E45"/>
    <mergeCell ref="B48:E48"/>
    <mergeCell ref="B43:E43"/>
    <mergeCell ref="B42:D42"/>
  </mergeCells>
  <dataValidations count="1">
    <dataValidation type="list" allowBlank="1" showInputMessage="1" showErrorMessage="1" sqref="F20">
      <formula1>$I$15:$I$18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4"/>
  <headerFooter alignWithMargins="0">
    <oddFooter>&amp;CLes stocks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I1:M18"/>
  <sheetViews>
    <sheetView showGridLines="0" workbookViewId="0" topLeftCell="A1">
      <selection activeCell="K19" sqref="K19"/>
    </sheetView>
  </sheetViews>
  <sheetFormatPr defaultColWidth="11.421875" defaultRowHeight="12.75"/>
  <cols>
    <col min="1" max="1" width="5.28125" style="0" customWidth="1"/>
    <col min="10" max="10" width="11.421875" style="189" customWidth="1"/>
    <col min="11" max="11" width="25.8515625" style="189" customWidth="1"/>
    <col min="12" max="12" width="11.7109375" style="268" bestFit="1" customWidth="1"/>
    <col min="13" max="19" width="11.421875" style="189" customWidth="1"/>
  </cols>
  <sheetData>
    <row r="1" spans="9:12" ht="12.75">
      <c r="I1" s="430"/>
      <c r="J1" s="430"/>
      <c r="K1" s="430"/>
      <c r="L1" s="431"/>
    </row>
    <row r="2" spans="9:13" ht="12.75">
      <c r="I2" s="430"/>
      <c r="J2" s="430"/>
      <c r="K2" s="432" t="s">
        <v>372</v>
      </c>
      <c r="L2" s="257">
        <f>totaldesachatsmp</f>
        <v>165565.21739130435</v>
      </c>
      <c r="M2" s="253"/>
    </row>
    <row r="3" spans="9:13" ht="12.75">
      <c r="I3" s="430"/>
      <c r="J3" s="430"/>
      <c r="K3" s="433" t="s">
        <v>243</v>
      </c>
      <c r="L3" s="434">
        <f>assurances*12</f>
        <v>60000</v>
      </c>
      <c r="M3" s="253"/>
    </row>
    <row r="4" spans="9:13" ht="12.75">
      <c r="I4" s="430"/>
      <c r="J4" s="430"/>
      <c r="K4" s="435" t="s">
        <v>240</v>
      </c>
      <c r="L4" s="434">
        <f>edf*12</f>
        <v>12000</v>
      </c>
      <c r="M4" s="253"/>
    </row>
    <row r="5" spans="9:13" ht="12.75">
      <c r="I5" s="430"/>
      <c r="J5" s="430"/>
      <c r="K5" s="435" t="s">
        <v>242</v>
      </c>
      <c r="L5" s="434">
        <f>entretien*12</f>
        <v>6000</v>
      </c>
      <c r="M5" s="253"/>
    </row>
    <row r="6" spans="9:13" ht="12.75">
      <c r="I6" s="430"/>
      <c r="J6" s="430"/>
      <c r="K6" s="435" t="s">
        <v>238</v>
      </c>
      <c r="L6" s="434">
        <f>loyer*12</f>
        <v>24000</v>
      </c>
      <c r="M6" s="253"/>
    </row>
    <row r="7" spans="9:13" ht="12.75">
      <c r="I7" s="430"/>
      <c r="J7" s="430"/>
      <c r="K7" s="435" t="s">
        <v>241</v>
      </c>
      <c r="L7" s="434">
        <f>Besoins!E33*12</f>
        <v>180000</v>
      </c>
      <c r="M7" s="253"/>
    </row>
    <row r="8" spans="9:13" ht="12.75">
      <c r="I8" s="430"/>
      <c r="J8" s="430"/>
      <c r="K8" s="436" t="s">
        <v>9</v>
      </c>
      <c r="L8" s="434">
        <f>charges_sociales*12</f>
        <v>81000</v>
      </c>
      <c r="M8" s="253"/>
    </row>
    <row r="9" spans="9:13" ht="12.75">
      <c r="I9" s="430"/>
      <c r="J9" s="430"/>
      <c r="K9" s="435" t="s">
        <v>244</v>
      </c>
      <c r="L9" s="434">
        <f>telephone*12</f>
        <v>6000</v>
      </c>
      <c r="M9" s="253"/>
    </row>
    <row r="10" spans="9:13" ht="12.75">
      <c r="I10" s="430"/>
      <c r="J10" s="430"/>
      <c r="K10" s="435" t="s">
        <v>249</v>
      </c>
      <c r="L10" s="434">
        <f>cfd*12</f>
        <v>42000</v>
      </c>
      <c r="M10" s="253"/>
    </row>
    <row r="11" spans="9:13" ht="12.75">
      <c r="I11" s="430"/>
      <c r="J11" s="430"/>
      <c r="K11" s="435" t="s">
        <v>248</v>
      </c>
      <c r="L11" s="434">
        <f>cvd*12</f>
        <v>18000</v>
      </c>
      <c r="M11" s="253"/>
    </row>
    <row r="12" spans="9:13" ht="12.75">
      <c r="I12" s="430"/>
      <c r="J12" s="430"/>
      <c r="K12" s="435" t="s">
        <v>447</v>
      </c>
      <c r="L12" s="257">
        <f>interets</f>
        <v>1170.0375634998072</v>
      </c>
      <c r="M12" s="253"/>
    </row>
    <row r="13" spans="9:13" ht="12.75">
      <c r="I13" s="430"/>
      <c r="J13" s="430"/>
      <c r="K13" s="253"/>
      <c r="L13" s="437"/>
      <c r="M13" s="253"/>
    </row>
    <row r="14" spans="9:12" ht="12.75">
      <c r="I14" s="430"/>
      <c r="J14" s="430"/>
      <c r="K14" s="430"/>
      <c r="L14" s="431"/>
    </row>
    <row r="15" spans="9:12" ht="12.75">
      <c r="I15" s="430"/>
      <c r="J15" s="430"/>
      <c r="K15" s="430"/>
      <c r="L15" s="431"/>
    </row>
    <row r="16" spans="9:12" ht="12.75">
      <c r="I16" s="430"/>
      <c r="J16" s="430"/>
      <c r="K16" s="430"/>
      <c r="L16" s="431"/>
    </row>
    <row r="17" spans="9:12" ht="12.75">
      <c r="I17" s="430"/>
      <c r="J17" s="430"/>
      <c r="K17" s="430"/>
      <c r="L17" s="431"/>
    </row>
    <row r="18" spans="9:12" ht="12.75">
      <c r="I18" s="430"/>
      <c r="J18" s="430"/>
      <c r="K18" s="430"/>
      <c r="L18" s="431"/>
    </row>
  </sheetData>
  <sheetProtection password="B702"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&amp;CReprésentation graphique des charges décaissables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B11:F27"/>
  <sheetViews>
    <sheetView showGridLines="0" workbookViewId="0" topLeftCell="A1">
      <selection activeCell="C14" sqref="C14"/>
    </sheetView>
  </sheetViews>
  <sheetFormatPr defaultColWidth="11.421875" defaultRowHeight="12.75"/>
  <cols>
    <col min="1" max="1" width="4.421875" style="0" customWidth="1"/>
    <col min="2" max="2" width="15.421875" style="0" customWidth="1"/>
    <col min="3" max="6" width="16.140625" style="0" customWidth="1"/>
  </cols>
  <sheetData>
    <row r="11" spans="2:6" ht="18.75" customHeight="1">
      <c r="B11" s="590" t="s">
        <v>377</v>
      </c>
      <c r="C11" s="128" t="s">
        <v>384</v>
      </c>
      <c r="D11" s="128" t="s">
        <v>388</v>
      </c>
      <c r="E11" s="128" t="s">
        <v>341</v>
      </c>
      <c r="F11" s="128" t="s">
        <v>341</v>
      </c>
    </row>
    <row r="12" spans="2:6" ht="18.75" customHeight="1">
      <c r="B12" s="591"/>
      <c r="C12" s="129" t="s">
        <v>385</v>
      </c>
      <c r="D12" s="129" t="s">
        <v>389</v>
      </c>
      <c r="E12" s="129" t="s">
        <v>239</v>
      </c>
      <c r="F12" s="129" t="s">
        <v>387</v>
      </c>
    </row>
    <row r="13" spans="2:6" ht="18.75" customHeight="1">
      <c r="B13" s="592"/>
      <c r="C13" s="130" t="s">
        <v>386</v>
      </c>
      <c r="D13" s="130"/>
      <c r="E13" s="130"/>
      <c r="F13" s="130"/>
    </row>
    <row r="14" spans="2:6" ht="18.75" customHeight="1">
      <c r="B14" s="127" t="s">
        <v>217</v>
      </c>
      <c r="C14" s="293">
        <v>10000</v>
      </c>
      <c r="D14" s="385">
        <f>C14</f>
        <v>10000</v>
      </c>
      <c r="E14" s="89">
        <f aca="true" t="shared" si="0" ref="E14:E25">IF(C14=0,0,CA_unitaire*C14)</f>
        <v>47105.374723255925</v>
      </c>
      <c r="F14" s="89">
        <f>E14</f>
        <v>47105.374723255925</v>
      </c>
    </row>
    <row r="15" spans="2:6" ht="18.75" customHeight="1">
      <c r="B15" s="127" t="s">
        <v>218</v>
      </c>
      <c r="C15" s="293">
        <v>10000</v>
      </c>
      <c r="D15" s="385">
        <f>IF(C15="","",D14+C15)</f>
        <v>20000</v>
      </c>
      <c r="E15" s="89">
        <f t="shared" si="0"/>
        <v>47105.374723255925</v>
      </c>
      <c r="F15" s="89">
        <f>IF(E15="","",F14+E15)</f>
        <v>94210.74944651185</v>
      </c>
    </row>
    <row r="16" spans="2:6" ht="18.75" customHeight="1">
      <c r="B16" s="127" t="s">
        <v>219</v>
      </c>
      <c r="C16" s="293">
        <v>15000</v>
      </c>
      <c r="D16" s="385">
        <f aca="true" t="shared" si="1" ref="D16:D25">IF(C16="","",D15+C16)</f>
        <v>35000</v>
      </c>
      <c r="E16" s="89">
        <f t="shared" si="0"/>
        <v>70658.06208488389</v>
      </c>
      <c r="F16" s="89">
        <f aca="true" t="shared" si="2" ref="F16:F25">IF(E16="","",F15+E16)</f>
        <v>164868.81153139574</v>
      </c>
    </row>
    <row r="17" spans="2:6" ht="18.75" customHeight="1">
      <c r="B17" s="127" t="s">
        <v>220</v>
      </c>
      <c r="C17" s="293">
        <v>25000</v>
      </c>
      <c r="D17" s="385">
        <f t="shared" si="1"/>
        <v>60000</v>
      </c>
      <c r="E17" s="89">
        <f t="shared" si="0"/>
        <v>117763.43680813981</v>
      </c>
      <c r="F17" s="89">
        <f t="shared" si="2"/>
        <v>282632.24833953555</v>
      </c>
    </row>
    <row r="18" spans="2:6" ht="18.75" customHeight="1">
      <c r="B18" s="127" t="s">
        <v>221</v>
      </c>
      <c r="C18" s="293">
        <v>25000</v>
      </c>
      <c r="D18" s="385">
        <f t="shared" si="1"/>
        <v>85000</v>
      </c>
      <c r="E18" s="89">
        <f t="shared" si="0"/>
        <v>117763.43680813981</v>
      </c>
      <c r="F18" s="89">
        <f t="shared" si="2"/>
        <v>400395.68514767534</v>
      </c>
    </row>
    <row r="19" spans="2:6" ht="18.75" customHeight="1">
      <c r="B19" s="127" t="s">
        <v>222</v>
      </c>
      <c r="C19" s="293">
        <v>10000</v>
      </c>
      <c r="D19" s="385">
        <f t="shared" si="1"/>
        <v>95000</v>
      </c>
      <c r="E19" s="89">
        <f t="shared" si="0"/>
        <v>47105.374723255925</v>
      </c>
      <c r="F19" s="89">
        <f t="shared" si="2"/>
        <v>447501.05987093126</v>
      </c>
    </row>
    <row r="20" spans="2:6" ht="18.75" customHeight="1">
      <c r="B20" s="127" t="s">
        <v>223</v>
      </c>
      <c r="C20" s="293">
        <v>5000</v>
      </c>
      <c r="D20" s="385">
        <f t="shared" si="1"/>
        <v>100000</v>
      </c>
      <c r="E20" s="89">
        <f t="shared" si="0"/>
        <v>23552.687361627963</v>
      </c>
      <c r="F20" s="89">
        <f t="shared" si="2"/>
        <v>471053.74723255925</v>
      </c>
    </row>
    <row r="21" spans="2:6" ht="18.75" customHeight="1">
      <c r="B21" s="127" t="s">
        <v>224</v>
      </c>
      <c r="C21" s="293">
        <v>5000</v>
      </c>
      <c r="D21" s="385">
        <f t="shared" si="1"/>
        <v>105000</v>
      </c>
      <c r="E21" s="89">
        <f t="shared" si="0"/>
        <v>23552.687361627963</v>
      </c>
      <c r="F21" s="89">
        <f t="shared" si="2"/>
        <v>494606.4345941872</v>
      </c>
    </row>
    <row r="22" spans="2:6" ht="18.75" customHeight="1">
      <c r="B22" s="127" t="s">
        <v>225</v>
      </c>
      <c r="C22" s="293">
        <v>15000</v>
      </c>
      <c r="D22" s="385">
        <f t="shared" si="1"/>
        <v>120000</v>
      </c>
      <c r="E22" s="89">
        <f t="shared" si="0"/>
        <v>70658.06208488389</v>
      </c>
      <c r="F22" s="89">
        <f t="shared" si="2"/>
        <v>565264.4966790711</v>
      </c>
    </row>
    <row r="23" spans="2:6" ht="18.75" customHeight="1">
      <c r="B23" s="127" t="s">
        <v>253</v>
      </c>
      <c r="C23" s="293">
        <v>20000</v>
      </c>
      <c r="D23" s="385">
        <f t="shared" si="1"/>
        <v>140000</v>
      </c>
      <c r="E23" s="89">
        <f t="shared" si="0"/>
        <v>94210.74944651185</v>
      </c>
      <c r="F23" s="89">
        <f t="shared" si="2"/>
        <v>659475.246125583</v>
      </c>
    </row>
    <row r="24" spans="2:6" ht="18.75" customHeight="1">
      <c r="B24" s="127" t="s">
        <v>226</v>
      </c>
      <c r="C24" s="293">
        <v>20000</v>
      </c>
      <c r="D24" s="385">
        <f t="shared" si="1"/>
        <v>160000</v>
      </c>
      <c r="E24" s="89">
        <f t="shared" si="0"/>
        <v>94210.74944651185</v>
      </c>
      <c r="F24" s="89">
        <f t="shared" si="2"/>
        <v>753685.9955720948</v>
      </c>
    </row>
    <row r="25" spans="2:6" ht="18.75" customHeight="1">
      <c r="B25" s="127" t="s">
        <v>227</v>
      </c>
      <c r="C25" s="293">
        <v>15000</v>
      </c>
      <c r="D25" s="385">
        <f t="shared" si="1"/>
        <v>175000</v>
      </c>
      <c r="E25" s="89">
        <f t="shared" si="0"/>
        <v>70658.06208488389</v>
      </c>
      <c r="F25" s="89">
        <f t="shared" si="2"/>
        <v>824344.0576569787</v>
      </c>
    </row>
    <row r="27" spans="2:6" ht="12.75">
      <c r="B27" s="593">
        <f>IF(caprev&lt;&gt;F25,"CHIFFRE D'AFFAIRES PREVISIONNEL DIFFERENT DU CHIFFRE D'AFFAIRES CUMULE","")</f>
      </c>
      <c r="C27" s="593"/>
      <c r="D27" s="593"/>
      <c r="E27" s="593"/>
      <c r="F27" s="593"/>
    </row>
  </sheetData>
  <sheetProtection password="B702" sheet="1" objects="1" scenarios="1" selectLockedCells="1"/>
  <mergeCells count="2">
    <mergeCell ref="B11:B13"/>
    <mergeCell ref="B27:F27"/>
  </mergeCells>
  <printOptions horizontalCentered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4"/>
  <headerFooter alignWithMargins="0">
    <oddFooter>&amp;CRépartition de la production vendue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B9:D25"/>
  <sheetViews>
    <sheetView showGridLines="0" workbookViewId="0" topLeftCell="A4">
      <selection activeCell="G21" sqref="G21"/>
    </sheetView>
  </sheetViews>
  <sheetFormatPr defaultColWidth="11.421875" defaultRowHeight="12.75"/>
  <cols>
    <col min="1" max="1" width="15.7109375" style="0" customWidth="1"/>
    <col min="2" max="2" width="19.421875" style="0" customWidth="1"/>
    <col min="3" max="4" width="17.00390625" style="0" customWidth="1"/>
  </cols>
  <sheetData>
    <row r="9" spans="2:4" ht="12.75">
      <c r="B9" s="396" t="s">
        <v>451</v>
      </c>
      <c r="C9" s="397">
        <f>produitsenplus</f>
        <v>2282.608695652174</v>
      </c>
      <c r="D9" s="398" t="s">
        <v>359</v>
      </c>
    </row>
    <row r="11" spans="2:4" ht="18.75" customHeight="1">
      <c r="B11" s="390"/>
      <c r="C11" s="390" t="s">
        <v>384</v>
      </c>
      <c r="D11" s="391"/>
    </row>
    <row r="12" spans="2:4" ht="18.75" customHeight="1">
      <c r="B12" s="392" t="s">
        <v>377</v>
      </c>
      <c r="C12" s="392" t="s">
        <v>448</v>
      </c>
      <c r="D12" s="393" t="s">
        <v>450</v>
      </c>
    </row>
    <row r="13" spans="2:4" ht="18.75" customHeight="1">
      <c r="B13" s="394"/>
      <c r="C13" s="394" t="s">
        <v>449</v>
      </c>
      <c r="D13" s="395"/>
    </row>
    <row r="14" spans="2:4" ht="18.75" customHeight="1">
      <c r="B14" s="388" t="s">
        <v>217</v>
      </c>
      <c r="C14" s="415">
        <v>0</v>
      </c>
      <c r="D14" s="389">
        <f>C14</f>
        <v>0</v>
      </c>
    </row>
    <row r="15" spans="2:4" ht="18.75" customHeight="1">
      <c r="B15" s="388" t="s">
        <v>218</v>
      </c>
      <c r="C15" s="415">
        <v>0</v>
      </c>
      <c r="D15" s="389">
        <f>D14+C15</f>
        <v>0</v>
      </c>
    </row>
    <row r="16" spans="2:4" ht="18.75" customHeight="1">
      <c r="B16" s="388" t="s">
        <v>219</v>
      </c>
      <c r="C16" s="415">
        <v>250</v>
      </c>
      <c r="D16" s="389">
        <f aca="true" t="shared" si="0" ref="D16:D25">D15+C16</f>
        <v>250</v>
      </c>
    </row>
    <row r="17" spans="2:4" ht="18.75" customHeight="1">
      <c r="B17" s="388" t="s">
        <v>220</v>
      </c>
      <c r="C17" s="415">
        <v>250</v>
      </c>
      <c r="D17" s="389">
        <f t="shared" si="0"/>
        <v>500</v>
      </c>
    </row>
    <row r="18" spans="2:4" ht="18.75" customHeight="1">
      <c r="B18" s="388" t="s">
        <v>221</v>
      </c>
      <c r="C18" s="415">
        <v>300</v>
      </c>
      <c r="D18" s="389">
        <f t="shared" si="0"/>
        <v>800</v>
      </c>
    </row>
    <row r="19" spans="2:4" ht="18.75" customHeight="1">
      <c r="B19" s="388" t="s">
        <v>222</v>
      </c>
      <c r="C19" s="415">
        <v>300</v>
      </c>
      <c r="D19" s="389">
        <f t="shared" si="0"/>
        <v>1100</v>
      </c>
    </row>
    <row r="20" spans="2:4" ht="18.75" customHeight="1">
      <c r="B20" s="388" t="s">
        <v>223</v>
      </c>
      <c r="C20" s="415">
        <v>100</v>
      </c>
      <c r="D20" s="389">
        <f t="shared" si="0"/>
        <v>1200</v>
      </c>
    </row>
    <row r="21" spans="2:4" ht="18.75" customHeight="1">
      <c r="B21" s="388" t="s">
        <v>403</v>
      </c>
      <c r="C21" s="415">
        <v>100</v>
      </c>
      <c r="D21" s="389">
        <f t="shared" si="0"/>
        <v>1300</v>
      </c>
    </row>
    <row r="22" spans="2:4" ht="18.75" customHeight="1">
      <c r="B22" s="388" t="s">
        <v>225</v>
      </c>
      <c r="C22" s="415">
        <v>300</v>
      </c>
      <c r="D22" s="389">
        <f t="shared" si="0"/>
        <v>1600</v>
      </c>
    </row>
    <row r="23" spans="2:4" ht="18.75" customHeight="1">
      <c r="B23" s="388" t="s">
        <v>253</v>
      </c>
      <c r="C23" s="415">
        <v>300</v>
      </c>
      <c r="D23" s="389">
        <f t="shared" si="0"/>
        <v>1900</v>
      </c>
    </row>
    <row r="24" spans="2:4" ht="18.75" customHeight="1">
      <c r="B24" s="388" t="s">
        <v>226</v>
      </c>
      <c r="C24" s="415">
        <v>300</v>
      </c>
      <c r="D24" s="389">
        <f t="shared" si="0"/>
        <v>2200</v>
      </c>
    </row>
    <row r="25" spans="2:4" ht="18.75" customHeight="1">
      <c r="B25" s="388" t="s">
        <v>227</v>
      </c>
      <c r="C25" s="415">
        <v>83</v>
      </c>
      <c r="D25" s="389">
        <f t="shared" si="0"/>
        <v>2283</v>
      </c>
    </row>
  </sheetData>
  <sheetProtection password="B702" sheet="1" objects="1" scenarios="1"/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4"/>
  <headerFooter alignWithMargins="0">
    <oddFooter>&amp;CRépartition de la production stockée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MAYADELPIMI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</dc:creator>
  <cp:keywords/>
  <dc:description/>
  <cp:lastModifiedBy> </cp:lastModifiedBy>
  <cp:lastPrinted>2004-03-22T09:15:12Z</cp:lastPrinted>
  <dcterms:created xsi:type="dcterms:W3CDTF">2000-04-23T12:39:21Z</dcterms:created>
  <dcterms:modified xsi:type="dcterms:W3CDTF">2005-12-12T09:24:05Z</dcterms:modified>
  <cp:category/>
  <cp:version/>
  <cp:contentType/>
  <cp:contentStatus/>
</cp:coreProperties>
</file>