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mc:AlternateContent xmlns:mc="http://schemas.openxmlformats.org/markup-compatibility/2006">
    <mc:Choice Requires="x15">
      <x15ac:absPath xmlns:x15ac="http://schemas.microsoft.com/office/spreadsheetml/2010/11/ac" url="C:\Users\msmirani\Desktop\Livrables UTC\"/>
    </mc:Choice>
  </mc:AlternateContent>
  <bookViews>
    <workbookView xWindow="0" yWindow="0" windowWidth="20490" windowHeight="7755" tabRatio="901" activeTab="3"/>
  </bookViews>
  <sheets>
    <sheet name="Présentation" sheetId="2" r:id="rId1"/>
    <sheet name="Caractéristique Entreprise" sheetId="34" r:id="rId2"/>
    <sheet name="Définitions" sheetId="28" r:id="rId3"/>
    <sheet name="Exigences" sheetId="32" r:id="rId4"/>
    <sheet name="Résultats Globaux" sheetId="33" r:id="rId5"/>
    <sheet name="Résultats Détaillés" sheetId="27" r:id="rId6"/>
    <sheet name="Plan d'actions" sheetId="35" state="hidden" r:id="rId7"/>
    <sheet name="Plan d'action pour Power BI" sheetId="37" state="hidden" r:id="rId8"/>
  </sheets>
  <definedNames>
    <definedName name="_xlnm._FilterDatabase" localSheetId="3" hidden="1">Exigences!$B$11:$AH$163</definedName>
    <definedName name="_xlnm._FilterDatabase" localSheetId="7" hidden="1">'Plan d''action pour Power BI'!$B$1:$I$119</definedName>
    <definedName name="_xlnm._FilterDatabase" localSheetId="6" hidden="1">'Plan d''actions'!$C$1:$E$154</definedName>
    <definedName name="Choix_de__VÉRACITÉ" localSheetId="3">Exigences!#REF!</definedName>
    <definedName name="Choix_de__VÉRACITÉ" localSheetId="4">#REF!</definedName>
    <definedName name="Choix_de__VÉRACITÉ">#REF!</definedName>
    <definedName name="_xlnm.Criteria" localSheetId="2">#REF!</definedName>
    <definedName name="_xlnm.Criteria" localSheetId="4">'Résultats Globaux'!$B$2:$B$5</definedName>
    <definedName name="_xlnm.Criteria">#REF!</definedName>
    <definedName name="_xlnm.Print_Titles" localSheetId="3">Exigences!$10:$10</definedName>
    <definedName name="_xlnm.Print_Titles" localSheetId="5">'Résultats Détaillés'!$2:$6</definedName>
    <definedName name="_xlnm.Print_Titles" localSheetId="4">'Résultats Globaux'!$1:$6</definedName>
    <definedName name="Liste_1">Exigences!#REF!</definedName>
    <definedName name="liste1">Exigences!$BA$12:$BA$16</definedName>
    <definedName name="na">Exigences!$BC$12</definedName>
    <definedName name="PDCA">#REF!</definedName>
    <definedName name="Recherche1" localSheetId="2">#REF!</definedName>
    <definedName name="Recherche1" localSheetId="4">'Résultats Globaux'!$B$2:$C$5</definedName>
    <definedName name="Recherche1">#REF!</definedName>
    <definedName name="_xlnm.Print_Area" localSheetId="1">'Caractéristique Entreprise'!$A$1:$K$60</definedName>
    <definedName name="_xlnm.Print_Area" localSheetId="2">Définitions!$A$1:$F$61</definedName>
    <definedName name="_xlnm.Print_Area" localSheetId="3">Exigences!$A$1:$AH$163</definedName>
    <definedName name="_xlnm.Print_Area" localSheetId="0">Présentation!$A$1:$I$27</definedName>
    <definedName name="_xlnm.Print_Area" localSheetId="5">'Résultats Détaillés'!$B$1:$I$69</definedName>
    <definedName name="_xlnm.Print_Area" localSheetId="4">'Résultats Globaux'!$B$1:$I$60</definedName>
  </definedNames>
  <calcPr calcId="162913" iterate="1"/>
</workbook>
</file>

<file path=xl/calcChain.xml><?xml version="1.0" encoding="utf-8"?>
<calcChain xmlns="http://schemas.openxmlformats.org/spreadsheetml/2006/main">
  <c r="AA160" i="32" l="1"/>
  <c r="AA161" i="32"/>
  <c r="AA144" i="32"/>
  <c r="AA145" i="32"/>
  <c r="AA146" i="32"/>
  <c r="AA147" i="32"/>
  <c r="AA148" i="32"/>
  <c r="X1" i="32" l="1"/>
  <c r="Y1" i="32"/>
  <c r="I2" i="37" l="1"/>
  <c r="I3" i="37"/>
  <c r="I4" i="37"/>
  <c r="I5" i="37"/>
  <c r="I6" i="37"/>
  <c r="I7" i="37"/>
  <c r="I8" i="37"/>
  <c r="I9" i="37"/>
  <c r="I10" i="37"/>
  <c r="I11" i="37"/>
  <c r="I12" i="37"/>
  <c r="I13" i="37"/>
  <c r="I14" i="37"/>
  <c r="I15" i="37"/>
  <c r="I16" i="37"/>
  <c r="I17" i="37"/>
  <c r="I18" i="37"/>
  <c r="I19" i="37"/>
  <c r="I20" i="37"/>
  <c r="I21" i="37"/>
  <c r="I22" i="37"/>
  <c r="I23" i="37"/>
  <c r="I24" i="37"/>
  <c r="I25" i="37"/>
  <c r="I26" i="37"/>
  <c r="I27" i="37"/>
  <c r="I28" i="37"/>
  <c r="I29" i="37"/>
  <c r="I30" i="37"/>
  <c r="I31" i="37"/>
  <c r="I32" i="37"/>
  <c r="I33" i="37"/>
  <c r="I34" i="37"/>
  <c r="I35" i="37"/>
  <c r="I36" i="37"/>
  <c r="I37" i="37"/>
  <c r="I38" i="37"/>
  <c r="I39" i="37"/>
  <c r="I40" i="37"/>
  <c r="I41" i="37"/>
  <c r="I42" i="37"/>
  <c r="I43" i="37"/>
  <c r="I44" i="37"/>
  <c r="I45" i="37"/>
  <c r="I46" i="37"/>
  <c r="I47" i="37"/>
  <c r="I48" i="37"/>
  <c r="I49" i="37"/>
  <c r="I50" i="37"/>
  <c r="I51" i="37"/>
  <c r="I52" i="37"/>
  <c r="I53" i="37"/>
  <c r="I54" i="37"/>
  <c r="I55" i="37"/>
  <c r="I56" i="37"/>
  <c r="I57" i="37"/>
  <c r="I58" i="37"/>
  <c r="I59" i="37"/>
  <c r="I60" i="37"/>
  <c r="I61" i="37"/>
  <c r="I62" i="37"/>
  <c r="I63" i="37"/>
  <c r="I64" i="37"/>
  <c r="I65" i="37"/>
  <c r="I66" i="37"/>
  <c r="I67" i="37"/>
  <c r="I68" i="37"/>
  <c r="I69" i="37"/>
  <c r="I70" i="37"/>
  <c r="I71" i="37"/>
  <c r="I72" i="37"/>
  <c r="I73" i="37"/>
  <c r="I74" i="37"/>
  <c r="I75" i="37"/>
  <c r="I76" i="37"/>
  <c r="I77" i="37"/>
  <c r="I78" i="37"/>
  <c r="I79" i="37"/>
  <c r="I80" i="37"/>
  <c r="I81" i="37"/>
  <c r="I82" i="37"/>
  <c r="I83" i="37"/>
  <c r="I84" i="37"/>
  <c r="I85" i="37"/>
  <c r="I86" i="37"/>
  <c r="I87" i="37"/>
  <c r="I88" i="37"/>
  <c r="I89" i="37"/>
  <c r="I90" i="37"/>
  <c r="I91" i="37"/>
  <c r="I92" i="37"/>
  <c r="I93" i="37"/>
  <c r="I94" i="37"/>
  <c r="I95" i="37"/>
  <c r="I96" i="37"/>
  <c r="I97" i="37"/>
  <c r="I98" i="37"/>
  <c r="I99" i="37"/>
  <c r="I100" i="37"/>
  <c r="I101" i="37"/>
  <c r="I102" i="37"/>
  <c r="I103" i="37"/>
  <c r="I104" i="37"/>
  <c r="I105" i="37"/>
  <c r="I106" i="37"/>
  <c r="I107" i="37"/>
  <c r="I108" i="37"/>
  <c r="I109" i="37"/>
  <c r="I110" i="37"/>
  <c r="I111" i="37"/>
  <c r="I112" i="37"/>
  <c r="I113" i="37"/>
  <c r="I114" i="37"/>
  <c r="I115" i="37"/>
  <c r="I116" i="37"/>
  <c r="I117" i="37"/>
  <c r="I118" i="37"/>
  <c r="I119" i="37"/>
  <c r="H2" i="37"/>
  <c r="H3" i="37"/>
  <c r="H4" i="37"/>
  <c r="H5" i="37"/>
  <c r="H6" i="37"/>
  <c r="H7" i="37"/>
  <c r="H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49" i="37"/>
  <c r="H50" i="37"/>
  <c r="H51" i="37"/>
  <c r="H52" i="37"/>
  <c r="H53" i="37"/>
  <c r="H54" i="37"/>
  <c r="H55" i="37"/>
  <c r="H56" i="37"/>
  <c r="H57" i="37"/>
  <c r="H58" i="37"/>
  <c r="H59" i="37"/>
  <c r="H60" i="37"/>
  <c r="H61" i="37"/>
  <c r="H62" i="37"/>
  <c r="H63" i="37"/>
  <c r="H64" i="37"/>
  <c r="H65" i="37"/>
  <c r="H66" i="37"/>
  <c r="H67" i="37"/>
  <c r="H68" i="37"/>
  <c r="H69" i="37"/>
  <c r="H70" i="37"/>
  <c r="H71" i="37"/>
  <c r="H72" i="37"/>
  <c r="H73" i="37"/>
  <c r="H74" i="37"/>
  <c r="H75" i="37"/>
  <c r="H76" i="37"/>
  <c r="H77" i="37"/>
  <c r="H78" i="37"/>
  <c r="H79" i="37"/>
  <c r="H80" i="37"/>
  <c r="H81" i="37"/>
  <c r="H82" i="37"/>
  <c r="H83" i="37"/>
  <c r="H84" i="37"/>
  <c r="H85" i="37"/>
  <c r="H86" i="37"/>
  <c r="H87" i="37"/>
  <c r="H88" i="37"/>
  <c r="H89" i="37"/>
  <c r="H90" i="37"/>
  <c r="H91" i="37"/>
  <c r="H92" i="37"/>
  <c r="H93" i="37"/>
  <c r="H94" i="37"/>
  <c r="H95" i="37"/>
  <c r="H96" i="37"/>
  <c r="H97" i="37"/>
  <c r="H98" i="37"/>
  <c r="H99" i="37"/>
  <c r="H100" i="37"/>
  <c r="H101" i="37"/>
  <c r="H102" i="37"/>
  <c r="H103" i="37"/>
  <c r="H104" i="37"/>
  <c r="H105" i="37"/>
  <c r="H106" i="37"/>
  <c r="H107" i="37"/>
  <c r="H108" i="37"/>
  <c r="H109" i="37"/>
  <c r="H110" i="37"/>
  <c r="H111" i="37"/>
  <c r="H112" i="37"/>
  <c r="H113" i="37"/>
  <c r="H114" i="37"/>
  <c r="H115" i="37"/>
  <c r="H116" i="37"/>
  <c r="H117" i="37"/>
  <c r="H118" i="37"/>
  <c r="H119" i="37"/>
  <c r="F2" i="37"/>
  <c r="F3" i="37"/>
  <c r="F4" i="37"/>
  <c r="F5" i="37"/>
  <c r="F6" i="37"/>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69" i="37"/>
  <c r="F70" i="37"/>
  <c r="F71" i="37"/>
  <c r="F72" i="37"/>
  <c r="F73" i="37"/>
  <c r="F74" i="37"/>
  <c r="F75" i="37"/>
  <c r="F76" i="37"/>
  <c r="F77" i="37"/>
  <c r="F78" i="37"/>
  <c r="F79" i="37"/>
  <c r="F80" i="37"/>
  <c r="F81" i="37"/>
  <c r="F82" i="37"/>
  <c r="F83" i="37"/>
  <c r="F84" i="37"/>
  <c r="F85" i="37"/>
  <c r="F86" i="37"/>
  <c r="F87" i="37"/>
  <c r="F88" i="37"/>
  <c r="F89" i="37"/>
  <c r="F90" i="37"/>
  <c r="F91" i="37"/>
  <c r="F92" i="37"/>
  <c r="F93" i="37"/>
  <c r="F94" i="37"/>
  <c r="F95" i="37"/>
  <c r="F96" i="37"/>
  <c r="F97" i="37"/>
  <c r="F98" i="37"/>
  <c r="F99" i="37"/>
  <c r="F100" i="37"/>
  <c r="F101" i="37"/>
  <c r="F102" i="37"/>
  <c r="F103" i="37"/>
  <c r="F104" i="37"/>
  <c r="F105" i="37"/>
  <c r="F106" i="37"/>
  <c r="G106" i="37" s="1"/>
  <c r="F107" i="37"/>
  <c r="G107" i="37" s="1"/>
  <c r="F108" i="37"/>
  <c r="G108" i="37" s="1"/>
  <c r="F109" i="37"/>
  <c r="G109" i="37" s="1"/>
  <c r="F110" i="37"/>
  <c r="G110" i="37" s="1"/>
  <c r="F111" i="37"/>
  <c r="G111" i="37" s="1"/>
  <c r="F112" i="37"/>
  <c r="G112" i="37" s="1"/>
  <c r="F113" i="37"/>
  <c r="G113" i="37" s="1"/>
  <c r="F114" i="37"/>
  <c r="G114" i="37" s="1"/>
  <c r="F115" i="37"/>
  <c r="G115" i="37" s="1"/>
  <c r="F116" i="37"/>
  <c r="G116" i="37" s="1"/>
  <c r="F117" i="37"/>
  <c r="G117" i="37" s="1"/>
  <c r="F118" i="37"/>
  <c r="G118" i="37" s="1"/>
  <c r="F119" i="37"/>
  <c r="G119" i="37" s="1"/>
  <c r="D2" i="37"/>
  <c r="D3" i="37"/>
  <c r="D4" i="37"/>
  <c r="D5" i="37"/>
  <c r="D6" i="37"/>
  <c r="D7" i="37"/>
  <c r="D8" i="37"/>
  <c r="D9" i="37"/>
  <c r="D10" i="37"/>
  <c r="D11" i="37"/>
  <c r="D12" i="37"/>
  <c r="D13" i="37"/>
  <c r="D14" i="37"/>
  <c r="D15" i="37"/>
  <c r="D16" i="37"/>
  <c r="D17" i="37"/>
  <c r="D18" i="37"/>
  <c r="D19" i="37"/>
  <c r="D20" i="37"/>
  <c r="D21" i="37"/>
  <c r="D22" i="37"/>
  <c r="D23" i="37"/>
  <c r="D24" i="37"/>
  <c r="D25" i="37"/>
  <c r="D26" i="37"/>
  <c r="D27" i="37"/>
  <c r="D28" i="37"/>
  <c r="D29" i="37"/>
  <c r="D30" i="37"/>
  <c r="D31" i="37"/>
  <c r="D32" i="37"/>
  <c r="D33" i="37"/>
  <c r="D34" i="37"/>
  <c r="D35" i="37"/>
  <c r="D36" i="37"/>
  <c r="D37" i="37"/>
  <c r="D38" i="37"/>
  <c r="D39" i="37"/>
  <c r="D40" i="37"/>
  <c r="D41" i="37"/>
  <c r="D42" i="37"/>
  <c r="D43" i="37"/>
  <c r="D44" i="37"/>
  <c r="D45" i="37"/>
  <c r="D46" i="37"/>
  <c r="D47" i="37"/>
  <c r="D48" i="37"/>
  <c r="D49" i="37"/>
  <c r="D50" i="37"/>
  <c r="D51" i="37"/>
  <c r="D52" i="37"/>
  <c r="D53" i="37"/>
  <c r="D54" i="37"/>
  <c r="D55" i="37"/>
  <c r="D56" i="37"/>
  <c r="D57" i="37"/>
  <c r="D58" i="37"/>
  <c r="D59" i="37"/>
  <c r="D60" i="37"/>
  <c r="D61" i="37"/>
  <c r="D62" i="37"/>
  <c r="D63" i="37"/>
  <c r="D64" i="37"/>
  <c r="D65" i="37"/>
  <c r="D66" i="37"/>
  <c r="D67" i="37"/>
  <c r="D68" i="37"/>
  <c r="D69" i="37"/>
  <c r="D70" i="37"/>
  <c r="D71" i="37"/>
  <c r="D72" i="37"/>
  <c r="D73" i="37"/>
  <c r="D74" i="37"/>
  <c r="D75" i="37"/>
  <c r="D76" i="37"/>
  <c r="D77" i="37"/>
  <c r="D78" i="37"/>
  <c r="D79" i="37"/>
  <c r="D80" i="37"/>
  <c r="D81" i="37"/>
  <c r="D82" i="37"/>
  <c r="D83" i="37"/>
  <c r="D84" i="37"/>
  <c r="D85" i="37"/>
  <c r="D86" i="37"/>
  <c r="D87" i="37"/>
  <c r="D88" i="37"/>
  <c r="D89" i="37"/>
  <c r="D90" i="37"/>
  <c r="D91" i="37"/>
  <c r="D92" i="37"/>
  <c r="D93" i="37"/>
  <c r="D94" i="37"/>
  <c r="D95" i="37"/>
  <c r="D96" i="37"/>
  <c r="D97" i="37"/>
  <c r="D98" i="37"/>
  <c r="D99" i="37"/>
  <c r="D100" i="37"/>
  <c r="D101" i="37"/>
  <c r="D102" i="37"/>
  <c r="D103" i="37"/>
  <c r="D104" i="37"/>
  <c r="D105" i="37"/>
  <c r="D106" i="37"/>
  <c r="D107" i="37"/>
  <c r="D108" i="37"/>
  <c r="D109" i="37"/>
  <c r="D110" i="37"/>
  <c r="D111" i="37"/>
  <c r="D112" i="37"/>
  <c r="D113" i="37"/>
  <c r="D114" i="37"/>
  <c r="D115" i="37"/>
  <c r="D116" i="37"/>
  <c r="D117" i="37"/>
  <c r="D118" i="37"/>
  <c r="D119" i="37"/>
  <c r="B117" i="37"/>
  <c r="B118" i="37"/>
  <c r="B2" i="33" l="1"/>
  <c r="A2" i="28"/>
  <c r="A2" i="34"/>
  <c r="B106" i="37" l="1"/>
  <c r="B107" i="37"/>
  <c r="B108" i="37"/>
  <c r="B110" i="37"/>
  <c r="A3" i="37"/>
  <c r="A4" i="37" s="1"/>
  <c r="A5" i="37" s="1"/>
  <c r="A6" i="37" s="1"/>
  <c r="A7" i="37" s="1"/>
  <c r="A8" i="37" s="1"/>
  <c r="A9" i="37" s="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G4" i="37" l="1"/>
  <c r="G6" i="37"/>
  <c r="G8" i="37"/>
  <c r="G9" i="37"/>
  <c r="G11" i="37"/>
  <c r="G12" i="37"/>
  <c r="G13" i="37"/>
  <c r="G15" i="37"/>
  <c r="G16" i="37"/>
  <c r="G17" i="37"/>
  <c r="G18" i="37"/>
  <c r="G19" i="37"/>
  <c r="G20" i="37"/>
  <c r="G21" i="37"/>
  <c r="G23" i="37"/>
  <c r="G24" i="37"/>
  <c r="G26" i="37"/>
  <c r="G27" i="37"/>
  <c r="G28" i="37"/>
  <c r="G30" i="37"/>
  <c r="G31" i="37"/>
  <c r="G33" i="37"/>
  <c r="G34" i="37"/>
  <c r="G35" i="37"/>
  <c r="G36" i="37"/>
  <c r="G37" i="37"/>
  <c r="G39" i="37"/>
  <c r="G40" i="37"/>
  <c r="G41" i="37"/>
  <c r="G42" i="37"/>
  <c r="G43" i="37"/>
  <c r="G44" i="37"/>
  <c r="G45" i="37"/>
  <c r="G46" i="37"/>
  <c r="G48" i="37"/>
  <c r="G50" i="37"/>
  <c r="G52" i="37"/>
  <c r="G53" i="37"/>
  <c r="G54" i="37"/>
  <c r="G55" i="37"/>
  <c r="G57" i="37"/>
  <c r="G58" i="37"/>
  <c r="G59" i="37"/>
  <c r="G60" i="37"/>
  <c r="G61" i="37"/>
  <c r="G62" i="37"/>
  <c r="G63" i="37"/>
  <c r="G65" i="37"/>
  <c r="G66" i="37"/>
  <c r="G67" i="37"/>
  <c r="G68" i="37"/>
  <c r="G69" i="37"/>
  <c r="G70" i="37"/>
  <c r="G72" i="37"/>
  <c r="G73" i="37"/>
  <c r="G74" i="37"/>
  <c r="G75" i="37"/>
  <c r="G76" i="37"/>
  <c r="G77" i="37"/>
  <c r="G78" i="37"/>
  <c r="G79" i="37"/>
  <c r="G81" i="37"/>
  <c r="G82" i="37"/>
  <c r="G83" i="37"/>
  <c r="G84" i="37"/>
  <c r="G85" i="37"/>
  <c r="G86" i="37"/>
  <c r="G87" i="37"/>
  <c r="G88" i="37"/>
  <c r="G90" i="37"/>
  <c r="G91" i="37"/>
  <c r="G92" i="37"/>
  <c r="G93" i="37"/>
  <c r="G94" i="37"/>
  <c r="G95" i="37"/>
  <c r="G97" i="37"/>
  <c r="G98" i="37"/>
  <c r="G99" i="37"/>
  <c r="G100" i="37"/>
  <c r="G102" i="37"/>
  <c r="G103" i="37"/>
  <c r="G104" i="37"/>
  <c r="G105" i="37"/>
  <c r="C149" i="35"/>
  <c r="C150" i="35"/>
  <c r="C151" i="35"/>
  <c r="C152" i="35"/>
  <c r="C153" i="35"/>
  <c r="C154" i="35"/>
  <c r="B3" i="35"/>
  <c r="B4" i="35"/>
  <c r="B5" i="35"/>
  <c r="B6" i="35"/>
  <c r="B7" i="35"/>
  <c r="B8" i="35"/>
  <c r="B9" i="35"/>
  <c r="B10" i="35"/>
  <c r="B11" i="35"/>
  <c r="B12" i="35"/>
  <c r="B13" i="35"/>
  <c r="B14" i="35"/>
  <c r="B15" i="35"/>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1" i="35"/>
  <c r="B52" i="35"/>
  <c r="B53" i="35"/>
  <c r="B54" i="35"/>
  <c r="B55" i="35"/>
  <c r="B56" i="35"/>
  <c r="B57" i="35"/>
  <c r="B58" i="35"/>
  <c r="B59" i="35"/>
  <c r="B60" i="35"/>
  <c r="B61" i="35"/>
  <c r="B62" i="35"/>
  <c r="B63" i="35"/>
  <c r="B64" i="35"/>
  <c r="B65" i="35"/>
  <c r="B66" i="35"/>
  <c r="B67" i="35"/>
  <c r="B68" i="35"/>
  <c r="B69" i="35"/>
  <c r="B70" i="35"/>
  <c r="B71" i="35"/>
  <c r="B72" i="35"/>
  <c r="B73" i="35"/>
  <c r="B74" i="35"/>
  <c r="B75" i="35"/>
  <c r="B76" i="35"/>
  <c r="B77" i="35"/>
  <c r="B78" i="35"/>
  <c r="B79" i="35"/>
  <c r="B80" i="35"/>
  <c r="B81" i="35"/>
  <c r="B82" i="35"/>
  <c r="B83" i="35"/>
  <c r="B84" i="35"/>
  <c r="B85" i="35"/>
  <c r="B86" i="35"/>
  <c r="B87" i="35"/>
  <c r="B88" i="35"/>
  <c r="B89" i="35"/>
  <c r="B90" i="35"/>
  <c r="B91" i="35"/>
  <c r="B92" i="35"/>
  <c r="B93" i="35"/>
  <c r="B94" i="35"/>
  <c r="B95" i="35"/>
  <c r="B96" i="35"/>
  <c r="B97" i="35"/>
  <c r="B98" i="35"/>
  <c r="B99" i="35"/>
  <c r="B100" i="35"/>
  <c r="B101" i="35"/>
  <c r="B102" i="35"/>
  <c r="B103" i="35"/>
  <c r="B104" i="35"/>
  <c r="B105" i="35"/>
  <c r="B106" i="35"/>
  <c r="B107" i="35"/>
  <c r="B108" i="35"/>
  <c r="B109" i="35"/>
  <c r="B110" i="35"/>
  <c r="B111" i="35"/>
  <c r="B112" i="35"/>
  <c r="B113" i="35"/>
  <c r="B114" i="35"/>
  <c r="B115" i="35"/>
  <c r="B116" i="35"/>
  <c r="B117" i="35"/>
  <c r="B118" i="35"/>
  <c r="B119" i="35"/>
  <c r="B120" i="35"/>
  <c r="B121" i="35"/>
  <c r="B122" i="35"/>
  <c r="B123" i="35"/>
  <c r="B124" i="35"/>
  <c r="B125" i="35"/>
  <c r="B126" i="35"/>
  <c r="B127" i="35"/>
  <c r="B128" i="35"/>
  <c r="B129" i="35"/>
  <c r="B130" i="35"/>
  <c r="B131" i="35"/>
  <c r="B132" i="35"/>
  <c r="B133" i="35"/>
  <c r="B134" i="35"/>
  <c r="B135" i="35"/>
  <c r="B136" i="35"/>
  <c r="B137" i="35"/>
  <c r="B138" i="35"/>
  <c r="B139" i="35"/>
  <c r="B140" i="35"/>
  <c r="B141" i="35"/>
  <c r="B142" i="35"/>
  <c r="B143" i="35"/>
  <c r="B144" i="35"/>
  <c r="B145" i="35"/>
  <c r="B146" i="35"/>
  <c r="B147" i="35"/>
  <c r="B148" i="35"/>
  <c r="B149" i="35"/>
  <c r="B150" i="35"/>
  <c r="B151" i="35"/>
  <c r="B152" i="35"/>
  <c r="B153" i="35"/>
  <c r="B154" i="35"/>
  <c r="B2" i="35"/>
  <c r="A3" i="35"/>
  <c r="A4" i="35"/>
  <c r="A6" i="35"/>
  <c r="A10" i="35"/>
  <c r="A13" i="35"/>
  <c r="A19" i="35"/>
  <c r="A20" i="35"/>
  <c r="A28" i="35"/>
  <c r="A33" i="35"/>
  <c r="A38" i="35"/>
  <c r="A39" i="35"/>
  <c r="A43" i="35"/>
  <c r="A48" i="35"/>
  <c r="A51" i="35"/>
  <c r="A52" i="35"/>
  <c r="A62" i="35"/>
  <c r="A65" i="35"/>
  <c r="A68" i="35"/>
  <c r="A71" i="35"/>
  <c r="A77" i="35"/>
  <c r="A78" i="35"/>
  <c r="A85" i="35"/>
  <c r="A91" i="35"/>
  <c r="A102" i="35"/>
  <c r="A113" i="35"/>
  <c r="A124" i="35"/>
  <c r="A127" i="35"/>
  <c r="A132" i="35"/>
  <c r="A133" i="35"/>
  <c r="A140" i="35"/>
  <c r="A144" i="35"/>
  <c r="A147" i="35"/>
  <c r="A148" i="35"/>
  <c r="A150" i="35"/>
  <c r="A153" i="35"/>
  <c r="A2" i="35"/>
  <c r="BC161" i="32"/>
  <c r="BC162" i="32"/>
  <c r="AN161" i="32"/>
  <c r="AO161" i="32" s="1"/>
  <c r="Z161" i="32" s="1"/>
  <c r="AM161" i="32"/>
  <c r="AP161" i="32" s="1"/>
  <c r="AL162" i="32"/>
  <c r="BC144" i="32" l="1"/>
  <c r="BC145" i="32"/>
  <c r="BC146" i="32"/>
  <c r="BC147" i="32"/>
  <c r="BC148" i="32"/>
  <c r="BC149" i="32"/>
  <c r="BC150" i="32"/>
  <c r="BC151" i="32"/>
  <c r="BC152" i="32"/>
  <c r="BC153" i="32"/>
  <c r="BC154" i="32"/>
  <c r="BC155" i="32"/>
  <c r="BC156" i="32"/>
  <c r="BC157" i="32"/>
  <c r="BC158" i="32"/>
  <c r="BC159" i="32"/>
  <c r="BC160" i="32"/>
  <c r="AN144" i="32"/>
  <c r="AO144" i="32" s="1"/>
  <c r="Z144" i="32" s="1"/>
  <c r="AN145" i="32"/>
  <c r="AO145" i="32" s="1"/>
  <c r="Z145" i="32" s="1"/>
  <c r="AN146" i="32"/>
  <c r="AO146" i="32" s="1"/>
  <c r="Z146" i="32" s="1"/>
  <c r="AN147" i="32"/>
  <c r="AO147" i="32" s="1"/>
  <c r="Z147" i="32" s="1"/>
  <c r="AN148" i="32"/>
  <c r="AO148" i="32" s="1"/>
  <c r="Z148" i="32" s="1"/>
  <c r="AM144" i="32"/>
  <c r="AP144" i="32" s="1"/>
  <c r="AM145" i="32"/>
  <c r="AP145" i="32" s="1"/>
  <c r="AM146" i="32"/>
  <c r="AP146" i="32" s="1"/>
  <c r="AM147" i="32"/>
  <c r="AP147" i="32" s="1"/>
  <c r="AM148" i="32"/>
  <c r="AP148" i="32" s="1"/>
  <c r="AL149" i="32"/>
  <c r="C148" i="35"/>
  <c r="C141" i="35"/>
  <c r="C142" i="35"/>
  <c r="C143" i="35"/>
  <c r="C144" i="35"/>
  <c r="C145" i="35"/>
  <c r="C146" i="35"/>
  <c r="C147" i="35"/>
  <c r="C140" i="35"/>
  <c r="C134" i="35"/>
  <c r="C135" i="35"/>
  <c r="C136" i="35"/>
  <c r="C137" i="35"/>
  <c r="C138" i="35"/>
  <c r="C139" i="35"/>
  <c r="G10" i="37" l="1"/>
  <c r="G14" i="37"/>
  <c r="G22" i="37"/>
  <c r="G25" i="37"/>
  <c r="G29" i="37"/>
  <c r="G32" i="37"/>
  <c r="G38" i="37"/>
  <c r="G47" i="37"/>
  <c r="G49" i="37"/>
  <c r="G51" i="37"/>
  <c r="G56" i="37"/>
  <c r="G64" i="37"/>
  <c r="G71" i="37"/>
  <c r="G80" i="37"/>
  <c r="G89" i="37"/>
  <c r="G96" i="37"/>
  <c r="G101" i="37"/>
  <c r="G3" i="37"/>
  <c r="G5" i="37"/>
  <c r="G7" i="37"/>
  <c r="G2" i="37"/>
  <c r="B1" i="32" l="1"/>
  <c r="AH1" i="32"/>
  <c r="F6" i="27" l="1"/>
  <c r="G6" i="27"/>
  <c r="C15" i="35" l="1"/>
  <c r="C16" i="35"/>
  <c r="C17" i="35"/>
  <c r="C18" i="35"/>
  <c r="C93" i="35" l="1"/>
  <c r="C94" i="35"/>
  <c r="C95" i="35"/>
  <c r="C96" i="35"/>
  <c r="C97" i="35"/>
  <c r="C98" i="35"/>
  <c r="C99" i="35"/>
  <c r="C100" i="35"/>
  <c r="C101" i="35"/>
  <c r="C87" i="35"/>
  <c r="C88" i="35"/>
  <c r="C89" i="35"/>
  <c r="C90" i="35"/>
  <c r="C69" i="35"/>
  <c r="C80" i="35"/>
  <c r="C81" i="35"/>
  <c r="C82" i="35"/>
  <c r="C83" i="35"/>
  <c r="C84" i="35"/>
  <c r="D3" i="32"/>
  <c r="BC92" i="32"/>
  <c r="X92" i="32" s="1"/>
  <c r="BC93" i="32"/>
  <c r="X93" i="32" s="1"/>
  <c r="AM92" i="32"/>
  <c r="AP92" i="32" s="1"/>
  <c r="AM93" i="32"/>
  <c r="AP93" i="32" s="1"/>
  <c r="C54" i="35" l="1"/>
  <c r="C55" i="35"/>
  <c r="C56" i="35"/>
  <c r="C57" i="35"/>
  <c r="C58" i="35"/>
  <c r="C59" i="35"/>
  <c r="C60" i="35"/>
  <c r="C61" i="35"/>
  <c r="BC78" i="32"/>
  <c r="X78" i="32" s="1"/>
  <c r="BC79" i="32"/>
  <c r="AM78" i="32"/>
  <c r="BC69" i="32"/>
  <c r="X69" i="32" s="1"/>
  <c r="BC70" i="32"/>
  <c r="X70" i="32" s="1"/>
  <c r="AM69" i="32"/>
  <c r="AP69" i="32" s="1"/>
  <c r="AM70" i="32"/>
  <c r="AP70" i="32" s="1"/>
  <c r="C129" i="35"/>
  <c r="C130" i="35"/>
  <c r="C131" i="35"/>
  <c r="C115" i="35"/>
  <c r="C116" i="35"/>
  <c r="C117" i="35"/>
  <c r="C118" i="35"/>
  <c r="C119" i="35"/>
  <c r="C120" i="35"/>
  <c r="C121" i="35"/>
  <c r="C122" i="35"/>
  <c r="C123" i="35"/>
  <c r="C111" i="35"/>
  <c r="C112" i="35"/>
  <c r="AP78" i="32" l="1"/>
  <c r="BC139" i="32" l="1"/>
  <c r="X139" i="32" s="1"/>
  <c r="BC140" i="32"/>
  <c r="X140" i="32" s="1"/>
  <c r="AM139" i="32"/>
  <c r="AP139" i="32" s="1"/>
  <c r="AM140" i="32"/>
  <c r="AP140" i="32" s="1"/>
  <c r="BC120" i="32" l="1"/>
  <c r="X120" i="32" s="1"/>
  <c r="BC121" i="32"/>
  <c r="X121" i="32" s="1"/>
  <c r="AM120" i="32"/>
  <c r="AP120" i="32" s="1"/>
  <c r="AM121" i="32"/>
  <c r="AP121" i="32" s="1"/>
  <c r="C104" i="35"/>
  <c r="C105" i="35"/>
  <c r="C106" i="35"/>
  <c r="C107" i="35"/>
  <c r="C108" i="35"/>
  <c r="C109" i="35"/>
  <c r="C110" i="35"/>
  <c r="BC124" i="32"/>
  <c r="X124" i="32" s="1"/>
  <c r="BC125" i="32"/>
  <c r="X125" i="32" s="1"/>
  <c r="BC126" i="32"/>
  <c r="X126" i="32" s="1"/>
  <c r="BC127" i="32"/>
  <c r="X127" i="32" s="1"/>
  <c r="BC128" i="32"/>
  <c r="X128" i="32" s="1"/>
  <c r="BC129" i="32"/>
  <c r="X129" i="32" s="1"/>
  <c r="BC130" i="32"/>
  <c r="X130" i="32" s="1"/>
  <c r="BC131" i="32"/>
  <c r="BC132" i="32"/>
  <c r="X132" i="32" s="1"/>
  <c r="BC133" i="32"/>
  <c r="BC134" i="32"/>
  <c r="AM124" i="32"/>
  <c r="AP124" i="32" s="1"/>
  <c r="AM125" i="32"/>
  <c r="AM126" i="32"/>
  <c r="AM127" i="32"/>
  <c r="AM128" i="32"/>
  <c r="AP128" i="32" s="1"/>
  <c r="AM129" i="32"/>
  <c r="AM130" i="32"/>
  <c r="AM131" i="32"/>
  <c r="AP131" i="32" s="1"/>
  <c r="X131" i="32"/>
  <c r="BC115" i="32"/>
  <c r="X115" i="32" s="1"/>
  <c r="BC116" i="32"/>
  <c r="X116" i="32" s="1"/>
  <c r="BC117" i="32"/>
  <c r="X117" i="32" s="1"/>
  <c r="BC118" i="32"/>
  <c r="X118" i="32" s="1"/>
  <c r="BC119" i="32"/>
  <c r="X119" i="32" s="1"/>
  <c r="AM115" i="32"/>
  <c r="AP115" i="32" s="1"/>
  <c r="AM116" i="32"/>
  <c r="AP116" i="32" s="1"/>
  <c r="AM117" i="32"/>
  <c r="AP117" i="32" s="1"/>
  <c r="AM118" i="32"/>
  <c r="AP118" i="32" s="1"/>
  <c r="AM119" i="32"/>
  <c r="AP119" i="32" s="1"/>
  <c r="AP127" i="32" l="1"/>
  <c r="AP130" i="32"/>
  <c r="AP126" i="32"/>
  <c r="AP129" i="32"/>
  <c r="AP125" i="32"/>
  <c r="BC104" i="32" l="1"/>
  <c r="BC105" i="32"/>
  <c r="X105" i="32" s="1"/>
  <c r="BC106" i="32"/>
  <c r="X106" i="32" s="1"/>
  <c r="BC107" i="32"/>
  <c r="AM105" i="32"/>
  <c r="AP105" i="32" s="1"/>
  <c r="BC108" i="32"/>
  <c r="X108" i="32" s="1"/>
  <c r="BC109" i="32"/>
  <c r="X109" i="32" s="1"/>
  <c r="BC110" i="32"/>
  <c r="X110" i="32" s="1"/>
  <c r="AM108" i="32"/>
  <c r="AP108" i="32" s="1"/>
  <c r="AM109" i="32"/>
  <c r="AP109" i="32" s="1"/>
  <c r="AM110" i="32"/>
  <c r="AP110" i="32" s="1"/>
  <c r="AM106" i="32" l="1"/>
  <c r="AP106" i="32" s="1"/>
  <c r="AM107" i="32"/>
  <c r="X107" i="32"/>
  <c r="BC103" i="32"/>
  <c r="X103" i="32" s="1"/>
  <c r="AM103" i="32"/>
  <c r="AP103" i="32" s="1"/>
  <c r="AM104" i="32"/>
  <c r="AP107" i="32" l="1"/>
  <c r="AP104" i="32"/>
  <c r="AM39" i="32" l="1"/>
  <c r="AP39" i="32" s="1"/>
  <c r="AM40" i="32"/>
  <c r="AP40" i="32" s="1"/>
  <c r="AM41" i="32"/>
  <c r="AP41" i="32" s="1"/>
  <c r="X158" i="32"/>
  <c r="BC163" i="32"/>
  <c r="X163" i="32" s="1"/>
  <c r="BC164" i="32"/>
  <c r="BC14" i="32"/>
  <c r="X14" i="32" s="1"/>
  <c r="BC15" i="32"/>
  <c r="BC16" i="32"/>
  <c r="X16" i="32" s="1"/>
  <c r="BC17" i="32"/>
  <c r="X17" i="32" s="1"/>
  <c r="BC18" i="32"/>
  <c r="X18" i="32" s="1"/>
  <c r="BC19" i="32"/>
  <c r="BC20" i="32"/>
  <c r="X20" i="32" s="1"/>
  <c r="BC21" i="32"/>
  <c r="X21" i="32" s="1"/>
  <c r="BC22" i="32"/>
  <c r="BC23" i="32"/>
  <c r="X23" i="32" s="1"/>
  <c r="BC24" i="32"/>
  <c r="X24" i="32" s="1"/>
  <c r="BC25" i="32"/>
  <c r="X25" i="32" s="1"/>
  <c r="BC26" i="32"/>
  <c r="X26" i="32" s="1"/>
  <c r="BC27" i="32"/>
  <c r="X27" i="32" s="1"/>
  <c r="BC28" i="32"/>
  <c r="BC29" i="32"/>
  <c r="BC30" i="32"/>
  <c r="X30" i="32" s="1"/>
  <c r="BC31" i="32"/>
  <c r="X31" i="32" s="1"/>
  <c r="BC32" i="32"/>
  <c r="X32" i="32" s="1"/>
  <c r="BC33" i="32"/>
  <c r="X33" i="32" s="1"/>
  <c r="BC34" i="32"/>
  <c r="X34" i="32" s="1"/>
  <c r="BC35" i="32"/>
  <c r="X35" i="32" s="1"/>
  <c r="BC36" i="32"/>
  <c r="X36" i="32" s="1"/>
  <c r="BC37" i="32"/>
  <c r="BC38" i="32"/>
  <c r="X38" i="32" s="1"/>
  <c r="BC39" i="32"/>
  <c r="X39" i="32" s="1"/>
  <c r="BC40" i="32"/>
  <c r="X40" i="32" s="1"/>
  <c r="BC41" i="32"/>
  <c r="X41" i="32" s="1"/>
  <c r="BC42" i="32"/>
  <c r="BC43" i="32"/>
  <c r="X43" i="32" s="1"/>
  <c r="BC44" i="32"/>
  <c r="X44" i="32" s="1"/>
  <c r="BC45" i="32"/>
  <c r="X45" i="32" s="1"/>
  <c r="BC46" i="32"/>
  <c r="X46" i="32" s="1"/>
  <c r="BC47" i="32"/>
  <c r="BC48" i="32"/>
  <c r="BC49" i="32"/>
  <c r="X49" i="32" s="1"/>
  <c r="BC50" i="32"/>
  <c r="X50" i="32" s="1"/>
  <c r="BC51" i="32"/>
  <c r="X51" i="32" s="1"/>
  <c r="BC52" i="32"/>
  <c r="BC53" i="32"/>
  <c r="X53" i="32" s="1"/>
  <c r="BC54" i="32"/>
  <c r="X54" i="32" s="1"/>
  <c r="BC55" i="32"/>
  <c r="X55" i="32" s="1"/>
  <c r="BC56" i="32"/>
  <c r="X56" i="32" s="1"/>
  <c r="BC57" i="32"/>
  <c r="BC58" i="32"/>
  <c r="X58" i="32" s="1"/>
  <c r="BC59" i="32"/>
  <c r="X59" i="32" s="1"/>
  <c r="BC60" i="32"/>
  <c r="BC61" i="32"/>
  <c r="BC62" i="32"/>
  <c r="X62" i="32" s="1"/>
  <c r="BC63" i="32"/>
  <c r="X63" i="32" s="1"/>
  <c r="BC64" i="32"/>
  <c r="X64" i="32" s="1"/>
  <c r="BC65" i="32"/>
  <c r="X65" i="32" s="1"/>
  <c r="BC66" i="32"/>
  <c r="X66" i="32" s="1"/>
  <c r="BC67" i="32"/>
  <c r="X67" i="32" s="1"/>
  <c r="BC68" i="32"/>
  <c r="X68" i="32" s="1"/>
  <c r="BC71" i="32"/>
  <c r="BC72" i="32"/>
  <c r="X72" i="32" s="1"/>
  <c r="BC73" i="32"/>
  <c r="X73" i="32" s="1"/>
  <c r="BC74" i="32"/>
  <c r="BC75" i="32"/>
  <c r="X75" i="32" s="1"/>
  <c r="BC76" i="32"/>
  <c r="X76" i="32" s="1"/>
  <c r="BC77" i="32"/>
  <c r="X79" i="32"/>
  <c r="BC80" i="32"/>
  <c r="BC81" i="32"/>
  <c r="X81" i="32" s="1"/>
  <c r="BC82" i="32"/>
  <c r="X82" i="32" s="1"/>
  <c r="BC83" i="32"/>
  <c r="X83" i="32" s="1"/>
  <c r="BC84" i="32"/>
  <c r="X84" i="32" s="1"/>
  <c r="BC85" i="32"/>
  <c r="X85" i="32" s="1"/>
  <c r="BC86" i="32"/>
  <c r="BC87" i="32"/>
  <c r="BC88" i="32"/>
  <c r="X88" i="32" s="1"/>
  <c r="BC89" i="32"/>
  <c r="X89" i="32" s="1"/>
  <c r="BC90" i="32"/>
  <c r="X90" i="32" s="1"/>
  <c r="BC91" i="32"/>
  <c r="X91" i="32" s="1"/>
  <c r="BC94" i="32"/>
  <c r="BC95" i="32"/>
  <c r="X95" i="32" s="1"/>
  <c r="BC96" i="32"/>
  <c r="X96" i="32" s="1"/>
  <c r="BC97" i="32"/>
  <c r="X97" i="32" s="1"/>
  <c r="BC98" i="32"/>
  <c r="X98" i="32" s="1"/>
  <c r="BC99" i="32"/>
  <c r="X99" i="32" s="1"/>
  <c r="BC100" i="32"/>
  <c r="BC101" i="32"/>
  <c r="X101" i="32" s="1"/>
  <c r="BC102" i="32"/>
  <c r="X102" i="32" s="1"/>
  <c r="X104" i="32"/>
  <c r="BC111" i="32"/>
  <c r="BC112" i="32"/>
  <c r="X112" i="32" s="1"/>
  <c r="BC113" i="32"/>
  <c r="X113" i="32" s="1"/>
  <c r="BC114" i="32"/>
  <c r="X114" i="32" s="1"/>
  <c r="BC122" i="32"/>
  <c r="BC123" i="32"/>
  <c r="X123" i="32" s="1"/>
  <c r="X134" i="32"/>
  <c r="BC135" i="32"/>
  <c r="X135" i="32" s="1"/>
  <c r="BC136" i="32"/>
  <c r="BC137" i="32"/>
  <c r="X137" i="32" s="1"/>
  <c r="BC138" i="32"/>
  <c r="X138" i="32" s="1"/>
  <c r="BC141" i="32"/>
  <c r="BC142" i="32"/>
  <c r="BC143" i="32"/>
  <c r="X143" i="32" s="1"/>
  <c r="X147" i="32"/>
  <c r="X150" i="32"/>
  <c r="X152" i="32"/>
  <c r="X155" i="32"/>
  <c r="BC13" i="32" l="1"/>
  <c r="X13" i="32" s="1"/>
  <c r="AM96" i="32" l="1"/>
  <c r="AP96" i="32" s="1"/>
  <c r="AM97" i="32"/>
  <c r="AP97" i="32" s="1"/>
  <c r="AM98" i="32"/>
  <c r="AM99" i="32"/>
  <c r="AP99" i="32" s="1"/>
  <c r="AP98" i="32" l="1"/>
  <c r="AM91" i="32"/>
  <c r="AP91" i="32" s="1"/>
  <c r="G6" i="33"/>
  <c r="K1" i="34"/>
  <c r="F1" i="28"/>
  <c r="A1" i="28"/>
  <c r="AM85" i="32"/>
  <c r="AP85" i="32" s="1"/>
  <c r="AM82" i="32"/>
  <c r="AP82" i="32" s="1"/>
  <c r="AM83" i="32"/>
  <c r="AM84" i="32"/>
  <c r="AM63" i="32"/>
  <c r="AP63" i="32" s="1"/>
  <c r="AM64" i="32"/>
  <c r="AP64" i="32" s="1"/>
  <c r="AM65" i="32"/>
  <c r="AP65" i="32" s="1"/>
  <c r="AM66" i="32"/>
  <c r="AP66" i="32" s="1"/>
  <c r="AM67" i="32"/>
  <c r="AP67" i="32" s="1"/>
  <c r="AM68" i="32"/>
  <c r="AM54" i="32"/>
  <c r="AM55" i="32"/>
  <c r="AM56" i="32"/>
  <c r="AP56" i="32" s="1"/>
  <c r="AM44" i="32"/>
  <c r="AP44" i="32" s="1"/>
  <c r="AM45" i="32"/>
  <c r="AP45" i="32" s="1"/>
  <c r="AM46" i="32"/>
  <c r="AP46" i="32" s="1"/>
  <c r="AM32" i="32"/>
  <c r="AP32" i="32" s="1"/>
  <c r="AM33" i="32"/>
  <c r="AM34" i="32"/>
  <c r="AM35" i="32"/>
  <c r="AM36" i="32"/>
  <c r="AP36" i="32" s="1"/>
  <c r="AM23" i="32"/>
  <c r="AM30" i="32"/>
  <c r="AM26" i="32"/>
  <c r="AP26" i="32" s="1"/>
  <c r="AM27" i="32"/>
  <c r="AP27" i="32" s="1"/>
  <c r="AP84" i="32" l="1"/>
  <c r="AP68" i="32"/>
  <c r="AP23" i="32"/>
  <c r="AP30" i="32"/>
  <c r="AP35" i="32"/>
  <c r="AP55" i="32"/>
  <c r="AP34" i="32"/>
  <c r="AP54" i="32"/>
  <c r="AP83" i="32"/>
  <c r="AP33" i="32"/>
  <c r="C35" i="35" l="1"/>
  <c r="C36" i="35"/>
  <c r="C37" i="35"/>
  <c r="D62" i="27" l="1"/>
  <c r="C62" i="27"/>
  <c r="D53" i="27"/>
  <c r="C53" i="27"/>
  <c r="D44" i="27"/>
  <c r="C44" i="27"/>
  <c r="C76" i="35"/>
  <c r="C75" i="35"/>
  <c r="C74" i="35"/>
  <c r="C67" i="35"/>
  <c r="C133" i="35" l="1"/>
  <c r="C128" i="35"/>
  <c r="C127" i="35"/>
  <c r="C126" i="35"/>
  <c r="C125" i="35"/>
  <c r="C124" i="35"/>
  <c r="C114" i="35"/>
  <c r="C113" i="35"/>
  <c r="C103" i="35"/>
  <c r="C102" i="35"/>
  <c r="C92" i="35"/>
  <c r="C91" i="35"/>
  <c r="C86" i="35"/>
  <c r="C85" i="35"/>
  <c r="C79" i="35"/>
  <c r="C78" i="35"/>
  <c r="C73" i="35"/>
  <c r="C72" i="35"/>
  <c r="C71" i="35"/>
  <c r="C70" i="35"/>
  <c r="C68" i="35"/>
  <c r="C66" i="35"/>
  <c r="C65" i="35"/>
  <c r="C64" i="35"/>
  <c r="C63" i="35"/>
  <c r="C62" i="35"/>
  <c r="C53" i="35"/>
  <c r="C52" i="35"/>
  <c r="C50" i="35"/>
  <c r="C49" i="35"/>
  <c r="C48" i="35"/>
  <c r="C47" i="35"/>
  <c r="C46" i="35"/>
  <c r="C45" i="35"/>
  <c r="C44" i="35"/>
  <c r="C43" i="35"/>
  <c r="C42" i="35"/>
  <c r="C41" i="35"/>
  <c r="C40" i="35"/>
  <c r="C39" i="35"/>
  <c r="C34" i="35"/>
  <c r="C33" i="35"/>
  <c r="C32" i="35"/>
  <c r="C31" i="35"/>
  <c r="C30" i="35"/>
  <c r="C29" i="35"/>
  <c r="C28" i="35"/>
  <c r="C27" i="35"/>
  <c r="C26" i="35"/>
  <c r="C25" i="35"/>
  <c r="C24" i="35"/>
  <c r="C23" i="35"/>
  <c r="C22" i="35"/>
  <c r="C21" i="35"/>
  <c r="C20" i="35"/>
  <c r="C14" i="35"/>
  <c r="C13" i="35"/>
  <c r="C12" i="35"/>
  <c r="C11" i="35"/>
  <c r="C10" i="35"/>
  <c r="C9" i="35"/>
  <c r="C8" i="35"/>
  <c r="C7" i="35"/>
  <c r="C6" i="35"/>
  <c r="C5" i="35"/>
  <c r="C4" i="35"/>
  <c r="D36" i="27"/>
  <c r="C36" i="27"/>
  <c r="D35" i="27"/>
  <c r="C35" i="27"/>
  <c r="D27" i="27"/>
  <c r="D54" i="27" s="1"/>
  <c r="D63" i="27" s="1"/>
  <c r="C27" i="27"/>
  <c r="C54" i="27" s="1"/>
  <c r="C63" i="27" s="1"/>
  <c r="D26" i="27"/>
  <c r="C26" i="27"/>
  <c r="D18" i="27"/>
  <c r="D45" i="27" s="1"/>
  <c r="C18" i="27"/>
  <c r="C45" i="27" s="1"/>
  <c r="D17" i="27"/>
  <c r="C17" i="27"/>
  <c r="D8" i="27"/>
  <c r="C8" i="27"/>
  <c r="E6" i="27"/>
  <c r="D6" i="27"/>
  <c r="H5" i="27"/>
  <c r="G5" i="27"/>
  <c r="D5" i="27"/>
  <c r="B5" i="27"/>
  <c r="H4" i="27"/>
  <c r="G4" i="27"/>
  <c r="F4" i="27"/>
  <c r="D4" i="27"/>
  <c r="B4" i="27"/>
  <c r="B2" i="27"/>
  <c r="B1" i="27"/>
  <c r="C60" i="33"/>
  <c r="C59" i="33"/>
  <c r="C58" i="33"/>
  <c r="C57" i="33"/>
  <c r="B57" i="33"/>
  <c r="C56" i="33"/>
  <c r="C55" i="33"/>
  <c r="C54" i="33"/>
  <c r="C53" i="33"/>
  <c r="B53" i="33"/>
  <c r="C52" i="33"/>
  <c r="C51" i="33"/>
  <c r="C50" i="33"/>
  <c r="C49" i="33"/>
  <c r="C48" i="33"/>
  <c r="C47" i="33"/>
  <c r="C46" i="33"/>
  <c r="C45" i="33"/>
  <c r="B45" i="33"/>
  <c r="C44" i="33"/>
  <c r="C43" i="33"/>
  <c r="C42" i="33"/>
  <c r="C41" i="33"/>
  <c r="C40" i="33"/>
  <c r="C39" i="33"/>
  <c r="B39" i="33"/>
  <c r="C38" i="33"/>
  <c r="C37" i="33"/>
  <c r="C36" i="33"/>
  <c r="C35" i="33"/>
  <c r="B35" i="33"/>
  <c r="C34" i="33"/>
  <c r="C33" i="33"/>
  <c r="C32" i="33"/>
  <c r="C31" i="33"/>
  <c r="B31" i="33"/>
  <c r="C30" i="33"/>
  <c r="C29" i="33"/>
  <c r="C28" i="33"/>
  <c r="C27" i="33"/>
  <c r="D27" i="33" s="1"/>
  <c r="C26" i="33"/>
  <c r="B26" i="33"/>
  <c r="R17" i="33"/>
  <c r="R16" i="33"/>
  <c r="M16" i="33"/>
  <c r="R15" i="33"/>
  <c r="M15" i="33"/>
  <c r="R14" i="33"/>
  <c r="M14" i="33"/>
  <c r="R13" i="33"/>
  <c r="M13" i="33"/>
  <c r="E6" i="33"/>
  <c r="D6" i="33"/>
  <c r="H5" i="33"/>
  <c r="G5" i="33"/>
  <c r="D5" i="33"/>
  <c r="B5" i="33"/>
  <c r="H4" i="33"/>
  <c r="G4" i="33"/>
  <c r="F4" i="33"/>
  <c r="D4" i="33"/>
  <c r="B4" i="33"/>
  <c r="B1" i="33"/>
  <c r="AM163" i="32"/>
  <c r="AM160" i="32"/>
  <c r="AM158" i="32"/>
  <c r="AL157" i="32"/>
  <c r="AX156" i="32"/>
  <c r="AL156" i="32"/>
  <c r="AM155" i="32"/>
  <c r="AM154" i="32"/>
  <c r="AL153" i="32"/>
  <c r="AM152" i="32"/>
  <c r="AM151" i="32"/>
  <c r="AM150" i="32"/>
  <c r="AM143" i="32"/>
  <c r="AL142" i="32"/>
  <c r="AX141" i="32"/>
  <c r="AL141" i="32"/>
  <c r="AM138" i="32"/>
  <c r="AM137" i="32"/>
  <c r="AL136" i="32"/>
  <c r="AM135" i="32"/>
  <c r="AM134" i="32"/>
  <c r="AL133" i="32"/>
  <c r="AM132" i="32"/>
  <c r="AM123" i="32"/>
  <c r="AM114" i="32"/>
  <c r="AM113" i="32"/>
  <c r="AM112" i="32"/>
  <c r="AM102" i="32"/>
  <c r="AM101" i="32"/>
  <c r="AL100" i="32"/>
  <c r="AM95" i="32"/>
  <c r="AM90" i="32"/>
  <c r="AM89" i="32"/>
  <c r="AM88" i="32"/>
  <c r="AL87" i="32"/>
  <c r="AX86" i="32"/>
  <c r="AL86" i="32"/>
  <c r="AM81" i="32"/>
  <c r="AL80" i="32"/>
  <c r="AM79" i="32"/>
  <c r="AL77" i="32"/>
  <c r="AM76" i="32"/>
  <c r="AM75" i="32"/>
  <c r="AL74" i="32"/>
  <c r="AM73" i="32"/>
  <c r="AM72" i="32"/>
  <c r="AL71" i="32"/>
  <c r="AM62" i="32"/>
  <c r="AL61" i="32"/>
  <c r="AX60" i="32"/>
  <c r="AL60" i="32"/>
  <c r="AM59" i="32"/>
  <c r="AM58" i="32"/>
  <c r="AL57" i="32"/>
  <c r="AM53" i="32"/>
  <c r="AM51" i="32"/>
  <c r="AM50" i="32"/>
  <c r="AM49" i="32"/>
  <c r="AL48" i="32"/>
  <c r="AX47" i="32"/>
  <c r="AL47" i="32"/>
  <c r="AM43" i="32"/>
  <c r="AM38" i="32"/>
  <c r="AM31" i="32"/>
  <c r="AL29" i="32"/>
  <c r="AX28" i="32"/>
  <c r="AL28" i="32"/>
  <c r="AM25" i="32"/>
  <c r="AM24" i="32"/>
  <c r="AM21" i="32"/>
  <c r="AM20" i="32"/>
  <c r="AM18" i="32"/>
  <c r="AP18" i="32" s="1"/>
  <c r="AM17" i="32"/>
  <c r="AP17" i="32" s="1"/>
  <c r="AM16" i="32"/>
  <c r="AM14" i="32"/>
  <c r="AL14" i="32"/>
  <c r="C14" i="32"/>
  <c r="AM13" i="32"/>
  <c r="AP13" i="32" s="1"/>
  <c r="AX11" i="32"/>
  <c r="U3" i="32"/>
  <c r="L24" i="2"/>
  <c r="L23" i="2"/>
  <c r="L22" i="2"/>
  <c r="F22" i="2"/>
  <c r="D22" i="2" s="1"/>
  <c r="F21" i="2"/>
  <c r="D21" i="2" s="1"/>
  <c r="L20" i="2"/>
  <c r="F20" i="2"/>
  <c r="L19" i="2"/>
  <c r="C16" i="32" l="1"/>
  <c r="A7" i="35" s="1"/>
  <c r="A5" i="35"/>
  <c r="AA18" i="32"/>
  <c r="B6" i="37" s="1"/>
  <c r="AN43" i="32"/>
  <c r="AO43" i="32" s="1"/>
  <c r="Z43" i="32" s="1"/>
  <c r="AN72" i="32"/>
  <c r="AO72" i="32" s="1"/>
  <c r="Z72" i="32" s="1"/>
  <c r="AN89" i="32"/>
  <c r="AO89" i="32" s="1"/>
  <c r="Z89" i="32" s="1"/>
  <c r="AN163" i="32"/>
  <c r="AO163" i="32" s="1"/>
  <c r="Z163" i="32" s="1"/>
  <c r="AN14" i="32"/>
  <c r="AO14" i="32" s="1"/>
  <c r="Z14" i="32" s="1"/>
  <c r="AN24" i="32"/>
  <c r="AO24" i="32" s="1"/>
  <c r="Z24" i="32" s="1"/>
  <c r="AN62" i="32"/>
  <c r="AO62" i="32" s="1"/>
  <c r="Z62" i="32" s="1"/>
  <c r="AN81" i="32"/>
  <c r="AO81" i="32" s="1"/>
  <c r="Z81" i="32" s="1"/>
  <c r="AN123" i="32"/>
  <c r="AO123" i="32" s="1"/>
  <c r="Z123" i="32" s="1"/>
  <c r="AN151" i="32"/>
  <c r="AO151" i="32" s="1"/>
  <c r="Z151" i="32" s="1"/>
  <c r="AA16" i="32"/>
  <c r="B4" i="37" s="1"/>
  <c r="AN18" i="32"/>
  <c r="AO18" i="32" s="1"/>
  <c r="Z18" i="32" s="1"/>
  <c r="AN21" i="32"/>
  <c r="AO21" i="32" s="1"/>
  <c r="Z21" i="32" s="1"/>
  <c r="AN38" i="32"/>
  <c r="AO38" i="32" s="1"/>
  <c r="Z38" i="32" s="1"/>
  <c r="AN58" i="32"/>
  <c r="AO58" i="32" s="1"/>
  <c r="Z58" i="32" s="1"/>
  <c r="AN73" i="32"/>
  <c r="AO73" i="32" s="1"/>
  <c r="Z73" i="32" s="1"/>
  <c r="AN79" i="32"/>
  <c r="AO79" i="32" s="1"/>
  <c r="Z79" i="32" s="1"/>
  <c r="AN88" i="32"/>
  <c r="AO88" i="32" s="1"/>
  <c r="Z88" i="32" s="1"/>
  <c r="AN90" i="32"/>
  <c r="AO90" i="32" s="1"/>
  <c r="Z90" i="32" s="1"/>
  <c r="AN138" i="32"/>
  <c r="AO138" i="32" s="1"/>
  <c r="Z138" i="32" s="1"/>
  <c r="AN154" i="32"/>
  <c r="AO154" i="32" s="1"/>
  <c r="Z154" i="32" s="1"/>
  <c r="AA138" i="32"/>
  <c r="B102" i="37" s="1"/>
  <c r="AA125" i="32"/>
  <c r="B91" i="37" s="1"/>
  <c r="AA129" i="32"/>
  <c r="B95" i="37" s="1"/>
  <c r="AA114" i="32"/>
  <c r="B81" i="37" s="1"/>
  <c r="AA118" i="32"/>
  <c r="B85" i="37" s="1"/>
  <c r="AA103" i="32"/>
  <c r="B71" i="37" s="1"/>
  <c r="AA107" i="32"/>
  <c r="B75" i="37" s="1"/>
  <c r="AA99" i="32"/>
  <c r="B68" i="37" s="1"/>
  <c r="AA91" i="32"/>
  <c r="B61" i="37" s="1"/>
  <c r="AA69" i="32"/>
  <c r="B45" i="37" s="1"/>
  <c r="AA140" i="32"/>
  <c r="B104" i="37" s="1"/>
  <c r="AA131" i="32"/>
  <c r="B97" i="37" s="1"/>
  <c r="AA120" i="32"/>
  <c r="B87" i="37" s="1"/>
  <c r="AA109" i="32"/>
  <c r="B77" i="37" s="1"/>
  <c r="AA79" i="32"/>
  <c r="B52" i="37" s="1"/>
  <c r="AA128" i="32"/>
  <c r="B94" i="37" s="1"/>
  <c r="AA132" i="32"/>
  <c r="B98" i="37" s="1"/>
  <c r="AA121" i="32"/>
  <c r="B88" i="37" s="1"/>
  <c r="AA110" i="32"/>
  <c r="B78" i="37" s="1"/>
  <c r="AA78" i="32"/>
  <c r="B51" i="37" s="1"/>
  <c r="AA139" i="32"/>
  <c r="B103" i="37" s="1"/>
  <c r="AA126" i="32"/>
  <c r="B92" i="37" s="1"/>
  <c r="AA130" i="32"/>
  <c r="B96" i="37" s="1"/>
  <c r="AA115" i="32"/>
  <c r="B82" i="37" s="1"/>
  <c r="AA119" i="32"/>
  <c r="B86" i="37" s="1"/>
  <c r="AA104" i="32"/>
  <c r="B72" i="37" s="1"/>
  <c r="AA108" i="32"/>
  <c r="B76" i="37" s="1"/>
  <c r="AA98" i="32"/>
  <c r="B67" i="37" s="1"/>
  <c r="AA90" i="32"/>
  <c r="B60" i="37" s="1"/>
  <c r="AA70" i="32"/>
  <c r="B46" i="37" s="1"/>
  <c r="AA127" i="32"/>
  <c r="B93" i="37" s="1"/>
  <c r="AA116" i="32"/>
  <c r="B83" i="37" s="1"/>
  <c r="AA105" i="32"/>
  <c r="B73" i="37" s="1"/>
  <c r="AA93" i="32"/>
  <c r="B63" i="37" s="1"/>
  <c r="AA14" i="32"/>
  <c r="B3" i="37" s="1"/>
  <c r="AA124" i="32"/>
  <c r="B90" i="37" s="1"/>
  <c r="AA117" i="32"/>
  <c r="B84" i="37" s="1"/>
  <c r="AA106" i="32"/>
  <c r="B74" i="37" s="1"/>
  <c r="AA92" i="32"/>
  <c r="B62" i="37" s="1"/>
  <c r="AN93" i="32"/>
  <c r="AO93" i="32" s="1"/>
  <c r="Z93" i="32" s="1"/>
  <c r="AN92" i="32"/>
  <c r="AO92" i="32" s="1"/>
  <c r="Z92" i="32" s="1"/>
  <c r="AN70" i="32"/>
  <c r="AO70" i="32" s="1"/>
  <c r="Z70" i="32" s="1"/>
  <c r="AN78" i="32"/>
  <c r="AO78" i="32" s="1"/>
  <c r="Z78" i="32" s="1"/>
  <c r="AN69" i="32"/>
  <c r="AO69" i="32" s="1"/>
  <c r="Z69" i="32" s="1"/>
  <c r="AN139" i="32"/>
  <c r="AO139" i="32" s="1"/>
  <c r="Z139" i="32" s="1"/>
  <c r="AN140" i="32"/>
  <c r="AO140" i="32" s="1"/>
  <c r="Z140" i="32" s="1"/>
  <c r="AN121" i="32"/>
  <c r="AO121" i="32" s="1"/>
  <c r="Z121" i="32" s="1"/>
  <c r="AN125" i="32"/>
  <c r="AO125" i="32" s="1"/>
  <c r="Z125" i="32" s="1"/>
  <c r="AN129" i="32"/>
  <c r="AO129" i="32" s="1"/>
  <c r="Z129" i="32" s="1"/>
  <c r="AN115" i="32"/>
  <c r="AO115" i="32" s="1"/>
  <c r="Z115" i="32" s="1"/>
  <c r="AN119" i="32"/>
  <c r="AO119" i="32" s="1"/>
  <c r="Z119" i="32" s="1"/>
  <c r="AN127" i="32"/>
  <c r="AO127" i="32" s="1"/>
  <c r="Z127" i="32" s="1"/>
  <c r="AN117" i="32"/>
  <c r="AO117" i="32" s="1"/>
  <c r="Z117" i="32" s="1"/>
  <c r="AN128" i="32"/>
  <c r="AO128" i="32" s="1"/>
  <c r="Z128" i="32" s="1"/>
  <c r="AN118" i="32"/>
  <c r="AO118" i="32" s="1"/>
  <c r="Z118" i="32" s="1"/>
  <c r="AN126" i="32"/>
  <c r="AO126" i="32" s="1"/>
  <c r="Z126" i="32" s="1"/>
  <c r="AN130" i="32"/>
  <c r="AO130" i="32" s="1"/>
  <c r="Z130" i="32" s="1"/>
  <c r="AN116" i="32"/>
  <c r="AO116" i="32" s="1"/>
  <c r="Z116" i="32" s="1"/>
  <c r="AN131" i="32"/>
  <c r="AO131" i="32" s="1"/>
  <c r="Z131" i="32" s="1"/>
  <c r="AN120" i="32"/>
  <c r="AO120" i="32" s="1"/>
  <c r="Z120" i="32" s="1"/>
  <c r="AN124" i="32"/>
  <c r="AO124" i="32" s="1"/>
  <c r="Z124" i="32" s="1"/>
  <c r="AN132" i="32"/>
  <c r="AO132" i="32" s="1"/>
  <c r="Z132" i="32" s="1"/>
  <c r="AN102" i="32"/>
  <c r="AO102" i="32" s="1"/>
  <c r="Z102" i="32" s="1"/>
  <c r="AN110" i="32"/>
  <c r="AO110" i="32" s="1"/>
  <c r="Z110" i="32" s="1"/>
  <c r="AN109" i="32"/>
  <c r="AO109" i="32" s="1"/>
  <c r="Z109" i="32" s="1"/>
  <c r="AN105" i="32"/>
  <c r="AO105" i="32" s="1"/>
  <c r="Z105" i="32" s="1"/>
  <c r="AN108" i="32"/>
  <c r="AO108" i="32" s="1"/>
  <c r="Z108" i="32" s="1"/>
  <c r="AN103" i="32"/>
  <c r="AO103" i="32" s="1"/>
  <c r="Z103" i="32" s="1"/>
  <c r="AN107" i="32"/>
  <c r="AO107" i="32" s="1"/>
  <c r="Z107" i="32" s="1"/>
  <c r="AN106" i="32"/>
  <c r="AO106" i="32" s="1"/>
  <c r="Z106" i="32" s="1"/>
  <c r="AN104" i="32"/>
  <c r="AO104" i="32" s="1"/>
  <c r="Z104" i="32" s="1"/>
  <c r="AA44" i="32"/>
  <c r="B26" i="37" s="1"/>
  <c r="AA40" i="32"/>
  <c r="B23" i="37" s="1"/>
  <c r="AA32" i="32"/>
  <c r="B16" i="37" s="1"/>
  <c r="AN40" i="32"/>
  <c r="AO40" i="32" s="1"/>
  <c r="Z40" i="32" s="1"/>
  <c r="AA35" i="32"/>
  <c r="B19" i="37" s="1"/>
  <c r="AA34" i="32"/>
  <c r="B18" i="37" s="1"/>
  <c r="AA36" i="32"/>
  <c r="B20" i="37" s="1"/>
  <c r="AA45" i="32"/>
  <c r="B27" i="37" s="1"/>
  <c r="AA41" i="32"/>
  <c r="B24" i="37" s="1"/>
  <c r="AA33" i="32"/>
  <c r="B17" i="37" s="1"/>
  <c r="AN41" i="32"/>
  <c r="AO41" i="32" s="1"/>
  <c r="Z41" i="32" s="1"/>
  <c r="AA46" i="32"/>
  <c r="B28" i="37" s="1"/>
  <c r="AA39" i="32"/>
  <c r="B22" i="37" s="1"/>
  <c r="AN39" i="32"/>
  <c r="AO39" i="32" s="1"/>
  <c r="Z39" i="32" s="1"/>
  <c r="AN96" i="32"/>
  <c r="AO96" i="32" s="1"/>
  <c r="Z96" i="32" s="1"/>
  <c r="AN99" i="32"/>
  <c r="AO99" i="32" s="1"/>
  <c r="Z99" i="32" s="1"/>
  <c r="AN97" i="32"/>
  <c r="AO97" i="32" s="1"/>
  <c r="Z97" i="32" s="1"/>
  <c r="AN98" i="32"/>
  <c r="AO98" i="32" s="1"/>
  <c r="Z98" i="32" s="1"/>
  <c r="AA135" i="32"/>
  <c r="B100" i="37" s="1"/>
  <c r="AA102" i="32"/>
  <c r="B70" i="37" s="1"/>
  <c r="AA97" i="32"/>
  <c r="B66" i="37" s="1"/>
  <c r="AN82" i="32"/>
  <c r="AO82" i="32" s="1"/>
  <c r="Z82" i="32" s="1"/>
  <c r="AN63" i="32"/>
  <c r="AO63" i="32" s="1"/>
  <c r="Z63" i="32" s="1"/>
  <c r="AN67" i="32"/>
  <c r="AO67" i="32" s="1"/>
  <c r="Z67" i="32" s="1"/>
  <c r="AN45" i="32"/>
  <c r="AO45" i="32" s="1"/>
  <c r="Z45" i="32" s="1"/>
  <c r="AN34" i="32"/>
  <c r="AO34" i="32" s="1"/>
  <c r="Z34" i="32" s="1"/>
  <c r="AN26" i="32"/>
  <c r="AO26" i="32" s="1"/>
  <c r="Z26" i="32" s="1"/>
  <c r="AN35" i="32"/>
  <c r="AO35" i="32" s="1"/>
  <c r="Z35" i="32" s="1"/>
  <c r="AA137" i="32"/>
  <c r="B101" i="37" s="1"/>
  <c r="AA112" i="32"/>
  <c r="B79" i="37" s="1"/>
  <c r="AN84" i="32"/>
  <c r="AO84" i="32" s="1"/>
  <c r="Z84" i="32" s="1"/>
  <c r="AN65" i="32"/>
  <c r="AO65" i="32" s="1"/>
  <c r="Z65" i="32" s="1"/>
  <c r="AN55" i="32"/>
  <c r="AO55" i="32" s="1"/>
  <c r="Z55" i="32" s="1"/>
  <c r="AN36" i="32"/>
  <c r="AO36" i="32" s="1"/>
  <c r="Z36" i="32" s="1"/>
  <c r="AA96" i="32"/>
  <c r="B65" i="37" s="1"/>
  <c r="AN91" i="32"/>
  <c r="AO91" i="32" s="1"/>
  <c r="Z91" i="32" s="1"/>
  <c r="AN85" i="32"/>
  <c r="AO85" i="32" s="1"/>
  <c r="Z85" i="32" s="1"/>
  <c r="AN66" i="32"/>
  <c r="AO66" i="32" s="1"/>
  <c r="Z66" i="32" s="1"/>
  <c r="AN44" i="32"/>
  <c r="AO44" i="32" s="1"/>
  <c r="Z44" i="32" s="1"/>
  <c r="AN33" i="32"/>
  <c r="AO33" i="32" s="1"/>
  <c r="Z33" i="32" s="1"/>
  <c r="AA134" i="32"/>
  <c r="B99" i="37" s="1"/>
  <c r="AA113" i="32"/>
  <c r="B80" i="37" s="1"/>
  <c r="AA101" i="32"/>
  <c r="B69" i="37" s="1"/>
  <c r="AA95" i="32"/>
  <c r="B64" i="37" s="1"/>
  <c r="AN83" i="32"/>
  <c r="AO83" i="32" s="1"/>
  <c r="Z83" i="32" s="1"/>
  <c r="AN64" i="32"/>
  <c r="AO64" i="32" s="1"/>
  <c r="Z64" i="32" s="1"/>
  <c r="AN68" i="32"/>
  <c r="AO68" i="32" s="1"/>
  <c r="Z68" i="32" s="1"/>
  <c r="AN54" i="32"/>
  <c r="AO54" i="32" s="1"/>
  <c r="Z54" i="32" s="1"/>
  <c r="AN46" i="32"/>
  <c r="AO46" i="32" s="1"/>
  <c r="Z46" i="32" s="1"/>
  <c r="AN31" i="32"/>
  <c r="AO31" i="32" s="1"/>
  <c r="Z31" i="32" s="1"/>
  <c r="AN27" i="32"/>
  <c r="AO27" i="32" s="1"/>
  <c r="Z27" i="32" s="1"/>
  <c r="AN32" i="32"/>
  <c r="AO32" i="32" s="1"/>
  <c r="Z32" i="32" s="1"/>
  <c r="AA123" i="32"/>
  <c r="B89" i="37" s="1"/>
  <c r="AN56" i="32"/>
  <c r="AO56" i="32" s="1"/>
  <c r="Z56" i="32" s="1"/>
  <c r="AA23" i="32"/>
  <c r="B9" i="37" s="1"/>
  <c r="AA27" i="32"/>
  <c r="B13" i="37" s="1"/>
  <c r="AA43" i="32"/>
  <c r="B25" i="37" s="1"/>
  <c r="AA53" i="32"/>
  <c r="B32" i="37" s="1"/>
  <c r="AA58" i="32"/>
  <c r="B36" i="37" s="1"/>
  <c r="AA64" i="32"/>
  <c r="B40" i="37" s="1"/>
  <c r="AA68" i="32"/>
  <c r="B44" i="37" s="1"/>
  <c r="AA76" i="32"/>
  <c r="B50" i="37" s="1"/>
  <c r="AA84" i="32"/>
  <c r="B56" i="37" s="1"/>
  <c r="AA143" i="32"/>
  <c r="B105" i="37" s="1"/>
  <c r="AA152" i="32"/>
  <c r="B113" i="37" s="1"/>
  <c r="AA158" i="32"/>
  <c r="B116" i="37" s="1"/>
  <c r="AA163" i="32"/>
  <c r="B119" i="37" s="1"/>
  <c r="AA25" i="32"/>
  <c r="B11" i="37" s="1"/>
  <c r="AA50" i="32"/>
  <c r="B30" i="37" s="1"/>
  <c r="AA62" i="32"/>
  <c r="B38" i="37" s="1"/>
  <c r="AA82" i="32"/>
  <c r="B54" i="37" s="1"/>
  <c r="AA150" i="32"/>
  <c r="B111" i="37" s="1"/>
  <c r="AA26" i="32"/>
  <c r="B12" i="37" s="1"/>
  <c r="AA51" i="32"/>
  <c r="B31" i="37" s="1"/>
  <c r="AA63" i="32"/>
  <c r="B39" i="37" s="1"/>
  <c r="AA75" i="32"/>
  <c r="B49" i="37" s="1"/>
  <c r="AA89" i="32"/>
  <c r="B59" i="37" s="1"/>
  <c r="AA24" i="32"/>
  <c r="B10" i="37" s="1"/>
  <c r="AA30" i="32"/>
  <c r="B14" i="37" s="1"/>
  <c r="AA49" i="32"/>
  <c r="B29" i="37" s="1"/>
  <c r="AA54" i="32"/>
  <c r="B33" i="37" s="1"/>
  <c r="AA59" i="32"/>
  <c r="B37" i="37" s="1"/>
  <c r="AA65" i="32"/>
  <c r="B41" i="37" s="1"/>
  <c r="AA72" i="32"/>
  <c r="B47" i="37" s="1"/>
  <c r="AA81" i="32"/>
  <c r="B53" i="37" s="1"/>
  <c r="AA85" i="32"/>
  <c r="B57" i="37" s="1"/>
  <c r="B109" i="37"/>
  <c r="AA154" i="32"/>
  <c r="B114" i="37" s="1"/>
  <c r="AA20" i="32"/>
  <c r="B7" i="37" s="1"/>
  <c r="AA31" i="32"/>
  <c r="B15" i="37" s="1"/>
  <c r="AA55" i="32"/>
  <c r="B34" i="37" s="1"/>
  <c r="AA66" i="32"/>
  <c r="B42" i="37" s="1"/>
  <c r="AA73" i="32"/>
  <c r="B48" i="37" s="1"/>
  <c r="AA88" i="32"/>
  <c r="B58" i="37" s="1"/>
  <c r="AA155" i="32"/>
  <c r="B115" i="37" s="1"/>
  <c r="AA21" i="32"/>
  <c r="B8" i="37" s="1"/>
  <c r="AA38" i="32"/>
  <c r="B21" i="37" s="1"/>
  <c r="AA56" i="32"/>
  <c r="B35" i="37" s="1"/>
  <c r="AA67" i="32"/>
  <c r="B43" i="37" s="1"/>
  <c r="AA83" i="32"/>
  <c r="B55" i="37" s="1"/>
  <c r="AA151" i="32"/>
  <c r="B112" i="37" s="1"/>
  <c r="AN16" i="32"/>
  <c r="AO16" i="32" s="1"/>
  <c r="Z16" i="32" s="1"/>
  <c r="AN20" i="32"/>
  <c r="AO20" i="32" s="1"/>
  <c r="Z20" i="32" s="1"/>
  <c r="AN59" i="32"/>
  <c r="AO59" i="32" s="1"/>
  <c r="Z59" i="32" s="1"/>
  <c r="AN95" i="32"/>
  <c r="AO95" i="32" s="1"/>
  <c r="Z95" i="32" s="1"/>
  <c r="AN137" i="32"/>
  <c r="AO137" i="32" s="1"/>
  <c r="Z137" i="32" s="1"/>
  <c r="AN143" i="32"/>
  <c r="AO143" i="32" s="1"/>
  <c r="Z143" i="32" s="1"/>
  <c r="AN155" i="32"/>
  <c r="AO155" i="32" s="1"/>
  <c r="Z155" i="32" s="1"/>
  <c r="AN13" i="32"/>
  <c r="AO13" i="32" s="1"/>
  <c r="Z13" i="32" s="1"/>
  <c r="AA17" i="32"/>
  <c r="B5" i="37" s="1"/>
  <c r="AN49" i="32"/>
  <c r="AO49" i="32" s="1"/>
  <c r="Z49" i="32" s="1"/>
  <c r="AN51" i="32"/>
  <c r="AO51" i="32" s="1"/>
  <c r="Z51" i="32" s="1"/>
  <c r="AN75" i="32"/>
  <c r="AO75" i="32" s="1"/>
  <c r="Z75" i="32" s="1"/>
  <c r="AN113" i="32"/>
  <c r="AO113" i="32" s="1"/>
  <c r="Z113" i="32" s="1"/>
  <c r="AN135" i="32"/>
  <c r="AO135" i="32" s="1"/>
  <c r="Z135" i="32" s="1"/>
  <c r="AN160" i="32"/>
  <c r="AO160" i="32" s="1"/>
  <c r="Z160" i="32" s="1"/>
  <c r="AA13" i="32"/>
  <c r="B2" i="37" s="1"/>
  <c r="AN17" i="32"/>
  <c r="AO17" i="32" s="1"/>
  <c r="Z17" i="32" s="1"/>
  <c r="AN23" i="32"/>
  <c r="AO23" i="32" s="1"/>
  <c r="Z23" i="32" s="1"/>
  <c r="AN25" i="32"/>
  <c r="AO25" i="32" s="1"/>
  <c r="Z25" i="32" s="1"/>
  <c r="AN30" i="32"/>
  <c r="AO30" i="32" s="1"/>
  <c r="Z30" i="32" s="1"/>
  <c r="AN50" i="32"/>
  <c r="AO50" i="32" s="1"/>
  <c r="Z50" i="32" s="1"/>
  <c r="AN53" i="32"/>
  <c r="AO53" i="32" s="1"/>
  <c r="Z53" i="32" s="1"/>
  <c r="AN76" i="32"/>
  <c r="AO76" i="32" s="1"/>
  <c r="Z76" i="32" s="1"/>
  <c r="AN101" i="32"/>
  <c r="AO101" i="32" s="1"/>
  <c r="Z101" i="32" s="1"/>
  <c r="AN112" i="32"/>
  <c r="AO112" i="32" s="1"/>
  <c r="Z112" i="32" s="1"/>
  <c r="AN114" i="32"/>
  <c r="AO114" i="32" s="1"/>
  <c r="Z114" i="32" s="1"/>
  <c r="AN134" i="32"/>
  <c r="AO134" i="32" s="1"/>
  <c r="Z134" i="32" s="1"/>
  <c r="AN150" i="32"/>
  <c r="AO150" i="32" s="1"/>
  <c r="Z150" i="32" s="1"/>
  <c r="AN152" i="32"/>
  <c r="AO152" i="32" s="1"/>
  <c r="Z152" i="32" s="1"/>
  <c r="AN158" i="32"/>
  <c r="AO158" i="32" s="1"/>
  <c r="Z158" i="32" s="1"/>
  <c r="AP132" i="32"/>
  <c r="AL16" i="32"/>
  <c r="AL17" i="32" s="1"/>
  <c r="AL18" i="32" s="1"/>
  <c r="AL20" i="32" s="1"/>
  <c r="AP16" i="32"/>
  <c r="AQ16" i="32" s="1"/>
  <c r="AP135" i="32"/>
  <c r="AP152" i="32"/>
  <c r="AP24" i="32"/>
  <c r="AP43" i="32"/>
  <c r="AQ43" i="32" s="1"/>
  <c r="AP76" i="32"/>
  <c r="AP101" i="32"/>
  <c r="AP112" i="32"/>
  <c r="AP114" i="32"/>
  <c r="AP123" i="32"/>
  <c r="AP138" i="32"/>
  <c r="AP155" i="32"/>
  <c r="AP50" i="32"/>
  <c r="AP53" i="32"/>
  <c r="AQ53" i="32" s="1"/>
  <c r="AP58" i="32"/>
  <c r="AP79" i="32"/>
  <c r="AQ78" i="32" s="1"/>
  <c r="AP90" i="32"/>
  <c r="AP21" i="32"/>
  <c r="AP31" i="32"/>
  <c r="AQ31" i="32" s="1"/>
  <c r="AP49" i="32"/>
  <c r="AP51" i="32"/>
  <c r="AP59" i="32"/>
  <c r="AP72" i="32"/>
  <c r="AP89" i="32"/>
  <c r="AP95" i="32"/>
  <c r="AP151" i="32"/>
  <c r="AP20" i="32"/>
  <c r="AP73" i="32"/>
  <c r="AP88" i="32"/>
  <c r="AP134" i="32"/>
  <c r="AP143" i="32"/>
  <c r="AP150" i="32"/>
  <c r="AP158" i="32"/>
  <c r="AP160" i="32"/>
  <c r="AQ161" i="32" s="1"/>
  <c r="AR161" i="32" s="1"/>
  <c r="AP25" i="32"/>
  <c r="AP38" i="32"/>
  <c r="AP62" i="32"/>
  <c r="AP75" i="32"/>
  <c r="AP81" i="32"/>
  <c r="AQ81" i="32" s="1"/>
  <c r="AP102" i="32"/>
  <c r="AP113" i="32"/>
  <c r="AP137" i="32"/>
  <c r="AP154" i="32"/>
  <c r="AP163" i="32"/>
  <c r="C17" i="32"/>
  <c r="A8" i="35" s="1"/>
  <c r="AP14" i="32"/>
  <c r="AQ13" i="32" s="1"/>
  <c r="D28" i="33"/>
  <c r="AQ146" i="32" l="1"/>
  <c r="AR146" i="32" s="1"/>
  <c r="AQ144" i="32"/>
  <c r="AR144" i="32" s="1"/>
  <c r="AQ147" i="32"/>
  <c r="AR147" i="32" s="1"/>
  <c r="AQ148" i="32"/>
  <c r="AR148" i="32" s="1"/>
  <c r="AQ145" i="32"/>
  <c r="AR145" i="32" s="1"/>
  <c r="AR31" i="32"/>
  <c r="S17" i="33"/>
  <c r="B17" i="33" s="1"/>
  <c r="S15" i="33"/>
  <c r="S16" i="33"/>
  <c r="S14" i="33"/>
  <c r="AR53" i="32"/>
  <c r="S13" i="33"/>
  <c r="AQ93" i="32"/>
  <c r="AR93" i="32" s="1"/>
  <c r="AQ92" i="32"/>
  <c r="AR92" i="32" s="1"/>
  <c r="AR78" i="32"/>
  <c r="AQ79" i="32"/>
  <c r="AQ77" i="32" s="1"/>
  <c r="AQ62" i="32"/>
  <c r="AR62" i="32" s="1"/>
  <c r="AQ70" i="32"/>
  <c r="AR70" i="32" s="1"/>
  <c r="AQ69" i="32"/>
  <c r="AR69" i="32" s="1"/>
  <c r="AQ68" i="32"/>
  <c r="AR68" i="32" s="1"/>
  <c r="AQ140" i="32"/>
  <c r="AR140" i="32" s="1"/>
  <c r="AQ139" i="32"/>
  <c r="AR139" i="32" s="1"/>
  <c r="AQ121" i="32"/>
  <c r="AR121" i="32" s="1"/>
  <c r="AQ119" i="32"/>
  <c r="AR119" i="32" s="1"/>
  <c r="AQ120" i="32"/>
  <c r="AR120" i="32" s="1"/>
  <c r="AQ128" i="32"/>
  <c r="AR128" i="32" s="1"/>
  <c r="AQ124" i="32"/>
  <c r="AR124" i="32" s="1"/>
  <c r="AQ126" i="32"/>
  <c r="AR126" i="32" s="1"/>
  <c r="AQ130" i="32"/>
  <c r="AR130" i="32" s="1"/>
  <c r="AQ127" i="32"/>
  <c r="AR127" i="32" s="1"/>
  <c r="AQ131" i="32"/>
  <c r="AR131" i="32" s="1"/>
  <c r="AQ129" i="32"/>
  <c r="AR129" i="32" s="1"/>
  <c r="AQ125" i="32"/>
  <c r="AR125" i="32" s="1"/>
  <c r="AQ132" i="32"/>
  <c r="AR132" i="32" s="1"/>
  <c r="AQ17" i="32"/>
  <c r="AR17" i="32" s="1"/>
  <c r="AQ117" i="32"/>
  <c r="AR117" i="32" s="1"/>
  <c r="AQ118" i="32"/>
  <c r="AR118" i="32" s="1"/>
  <c r="AQ116" i="32"/>
  <c r="AR116" i="32" s="1"/>
  <c r="AQ115" i="32"/>
  <c r="AR115" i="32" s="1"/>
  <c r="AQ105" i="32"/>
  <c r="AR105" i="32" s="1"/>
  <c r="AQ108" i="32"/>
  <c r="AR108" i="32" s="1"/>
  <c r="AQ110" i="32"/>
  <c r="AR110" i="32" s="1"/>
  <c r="AQ109" i="32"/>
  <c r="AR109" i="32" s="1"/>
  <c r="AQ76" i="32"/>
  <c r="AR76" i="32" s="1"/>
  <c r="AQ107" i="32"/>
  <c r="AR107" i="32" s="1"/>
  <c r="AQ106" i="32"/>
  <c r="AR106" i="32" s="1"/>
  <c r="AQ104" i="32"/>
  <c r="AR104" i="32" s="1"/>
  <c r="AQ88" i="32"/>
  <c r="AR88" i="32" s="1"/>
  <c r="AQ103" i="32"/>
  <c r="AR103" i="32" s="1"/>
  <c r="AQ102" i="32"/>
  <c r="AR102" i="32" s="1"/>
  <c r="AQ20" i="32"/>
  <c r="AR20" i="32" s="1"/>
  <c r="AQ41" i="32"/>
  <c r="AR41" i="32" s="1"/>
  <c r="AQ40" i="32"/>
  <c r="AR40" i="32" s="1"/>
  <c r="AQ39" i="32"/>
  <c r="AR39" i="32" s="1"/>
  <c r="AQ155" i="32"/>
  <c r="AR155" i="32" s="1"/>
  <c r="AQ89" i="32"/>
  <c r="AR89" i="32" s="1"/>
  <c r="AQ150" i="32"/>
  <c r="AR150" i="32" s="1"/>
  <c r="AQ72" i="32"/>
  <c r="AR72" i="32" s="1"/>
  <c r="AQ59" i="32"/>
  <c r="AR59" i="32" s="1"/>
  <c r="AQ152" i="32"/>
  <c r="AR152" i="32" s="1"/>
  <c r="AQ135" i="32"/>
  <c r="AR135" i="32" s="1"/>
  <c r="AQ75" i="32"/>
  <c r="AQ25" i="32"/>
  <c r="AR25" i="32" s="1"/>
  <c r="AQ151" i="32"/>
  <c r="AR151" i="32" s="1"/>
  <c r="AQ113" i="32"/>
  <c r="AR113" i="32" s="1"/>
  <c r="AQ160" i="32"/>
  <c r="AR160" i="32" s="1"/>
  <c r="AQ158" i="32"/>
  <c r="AR158" i="32" s="1"/>
  <c r="AQ143" i="32"/>
  <c r="AR143" i="32" s="1"/>
  <c r="AQ49" i="32"/>
  <c r="AR49" i="32" s="1"/>
  <c r="AQ123" i="32"/>
  <c r="AQ138" i="32"/>
  <c r="AR138" i="32" s="1"/>
  <c r="AQ98" i="32"/>
  <c r="AR98" i="32" s="1"/>
  <c r="AQ97" i="32"/>
  <c r="AR97" i="32" s="1"/>
  <c r="AQ99" i="32"/>
  <c r="AR99" i="32" s="1"/>
  <c r="AQ96" i="32"/>
  <c r="AR96" i="32" s="1"/>
  <c r="AQ58" i="32"/>
  <c r="AQ114" i="32"/>
  <c r="AR114" i="32" s="1"/>
  <c r="AQ101" i="32"/>
  <c r="AQ163" i="32"/>
  <c r="AR163" i="32" s="1"/>
  <c r="AQ154" i="32"/>
  <c r="AQ137" i="32"/>
  <c r="AR137" i="32" s="1"/>
  <c r="AQ112" i="32"/>
  <c r="AR112" i="32" s="1"/>
  <c r="AQ134" i="32"/>
  <c r="AR134" i="32" s="1"/>
  <c r="AQ95" i="32"/>
  <c r="AR81" i="32"/>
  <c r="AQ63" i="32"/>
  <c r="AR63" i="32" s="1"/>
  <c r="AQ67" i="32"/>
  <c r="AR67" i="32" s="1"/>
  <c r="AQ65" i="32"/>
  <c r="AR65" i="32" s="1"/>
  <c r="AQ66" i="32"/>
  <c r="AR66" i="32" s="1"/>
  <c r="AQ64" i="32"/>
  <c r="AR64" i="32" s="1"/>
  <c r="AQ38" i="32"/>
  <c r="AR38" i="32" s="1"/>
  <c r="AQ73" i="32"/>
  <c r="AR73" i="32" s="1"/>
  <c r="AQ56" i="32"/>
  <c r="AR56" i="32" s="1"/>
  <c r="AQ54" i="32"/>
  <c r="AQ55" i="32"/>
  <c r="AR55" i="32" s="1"/>
  <c r="AQ26" i="32"/>
  <c r="AR26" i="32" s="1"/>
  <c r="AQ23" i="32"/>
  <c r="AQ27" i="32"/>
  <c r="AR27" i="32" s="1"/>
  <c r="AQ85" i="32"/>
  <c r="AR85" i="32" s="1"/>
  <c r="AQ83" i="32"/>
  <c r="AR83" i="32" s="1"/>
  <c r="AQ84" i="32"/>
  <c r="AR84" i="32" s="1"/>
  <c r="AQ82" i="32"/>
  <c r="AR82" i="32" s="1"/>
  <c r="AQ51" i="32"/>
  <c r="AR51" i="32" s="1"/>
  <c r="AQ33" i="32"/>
  <c r="AR33" i="32" s="1"/>
  <c r="AQ35" i="32"/>
  <c r="AR35" i="32" s="1"/>
  <c r="AQ34" i="32"/>
  <c r="AR34" i="32" s="1"/>
  <c r="AQ30" i="32"/>
  <c r="AR30" i="32" s="1"/>
  <c r="AQ32" i="32"/>
  <c r="AR32" i="32" s="1"/>
  <c r="AQ36" i="32"/>
  <c r="AR36" i="32" s="1"/>
  <c r="AQ44" i="32"/>
  <c r="AR44" i="32" s="1"/>
  <c r="AQ46" i="32"/>
  <c r="AR46" i="32" s="1"/>
  <c r="AQ45" i="32"/>
  <c r="AR45" i="32" s="1"/>
  <c r="AQ24" i="32"/>
  <c r="AR24" i="32" s="1"/>
  <c r="AQ21" i="32"/>
  <c r="AR21" i="32" s="1"/>
  <c r="AQ50" i="32"/>
  <c r="AR50" i="32" s="1"/>
  <c r="AQ91" i="32"/>
  <c r="AR91" i="32" s="1"/>
  <c r="AQ90" i="32"/>
  <c r="AR90" i="32" s="1"/>
  <c r="AR13" i="32"/>
  <c r="AL21" i="32"/>
  <c r="AL23" i="32" s="1"/>
  <c r="AL24" i="32" s="1"/>
  <c r="AL25" i="32" s="1"/>
  <c r="AL26" i="32" s="1"/>
  <c r="AL27" i="32" s="1"/>
  <c r="C18" i="32"/>
  <c r="A9" i="35" s="1"/>
  <c r="AQ18" i="32"/>
  <c r="AR18" i="32" s="1"/>
  <c r="AQ14" i="32"/>
  <c r="AR14" i="32" s="1"/>
  <c r="AR29" i="32" l="1"/>
  <c r="AS29" i="32" s="1"/>
  <c r="S12" i="33"/>
  <c r="V12" i="33" s="1"/>
  <c r="AR79" i="32"/>
  <c r="AQ74" i="32"/>
  <c r="AQ57" i="32"/>
  <c r="AR159" i="32"/>
  <c r="AS159" i="32" s="1"/>
  <c r="AT159" i="32" s="1"/>
  <c r="AQ136" i="32"/>
  <c r="AR71" i="32"/>
  <c r="AS71" i="32" s="1"/>
  <c r="AR149" i="32"/>
  <c r="AS149" i="32" s="1"/>
  <c r="AT149" i="32" s="1"/>
  <c r="AR136" i="32"/>
  <c r="AS136" i="32" s="1"/>
  <c r="AT136" i="32" s="1"/>
  <c r="AQ153" i="32"/>
  <c r="AR157" i="32"/>
  <c r="AS157" i="32" s="1"/>
  <c r="AR111" i="32"/>
  <c r="AS111" i="32" s="1"/>
  <c r="AT111" i="32" s="1"/>
  <c r="AQ94" i="32"/>
  <c r="AR133" i="32"/>
  <c r="AS133" i="32" s="1"/>
  <c r="AT133" i="32" s="1"/>
  <c r="AQ100" i="32"/>
  <c r="AQ122" i="32"/>
  <c r="AQ159" i="32"/>
  <c r="AR58" i="32"/>
  <c r="AR57" i="32" s="1"/>
  <c r="AS57" i="32" s="1"/>
  <c r="AT57" i="32" s="1"/>
  <c r="AR154" i="32"/>
  <c r="AR153" i="32" s="1"/>
  <c r="AS153" i="32" s="1"/>
  <c r="AT153" i="32" s="1"/>
  <c r="AR162" i="32"/>
  <c r="AS162" i="32" s="1"/>
  <c r="AT162" i="32" s="1"/>
  <c r="AR48" i="32"/>
  <c r="AS48" i="32" s="1"/>
  <c r="AQ111" i="32"/>
  <c r="AQ149" i="32"/>
  <c r="AR75" i="32"/>
  <c r="AR74" i="32" s="1"/>
  <c r="AS74" i="32" s="1"/>
  <c r="AR101" i="32"/>
  <c r="AR100" i="32" s="1"/>
  <c r="AS100" i="32" s="1"/>
  <c r="AT100" i="32" s="1"/>
  <c r="AQ157" i="32"/>
  <c r="AQ48" i="32"/>
  <c r="AR123" i="32"/>
  <c r="AR122" i="32" s="1"/>
  <c r="AS122" i="32" s="1"/>
  <c r="Y122" i="32" s="1"/>
  <c r="AR142" i="32"/>
  <c r="AS142" i="32" s="1"/>
  <c r="AT142" i="32" s="1"/>
  <c r="AQ142" i="32"/>
  <c r="AR80" i="32"/>
  <c r="AS80" i="32" s="1"/>
  <c r="Y80" i="32" s="1"/>
  <c r="AR61" i="32"/>
  <c r="AS61" i="32" s="1"/>
  <c r="AT61" i="32" s="1"/>
  <c r="AQ87" i="32"/>
  <c r="AQ29" i="32"/>
  <c r="AQ162" i="32"/>
  <c r="AQ133" i="32"/>
  <c r="AQ61" i="32"/>
  <c r="AQ52" i="32"/>
  <c r="AR54" i="32"/>
  <c r="AR52" i="32" s="1"/>
  <c r="AS52" i="32" s="1"/>
  <c r="Y52" i="32" s="1"/>
  <c r="AR87" i="32"/>
  <c r="AS87" i="32" s="1"/>
  <c r="AR95" i="32"/>
  <c r="AR94" i="32" s="1"/>
  <c r="AS94" i="32" s="1"/>
  <c r="AT94" i="32" s="1"/>
  <c r="AQ80" i="32"/>
  <c r="AQ71" i="32"/>
  <c r="AQ37" i="32"/>
  <c r="AR37" i="32"/>
  <c r="AS37" i="32" s="1"/>
  <c r="C20" i="32"/>
  <c r="A11" i="35" s="1"/>
  <c r="D29" i="33"/>
  <c r="AR19" i="32"/>
  <c r="AS19" i="32" s="1"/>
  <c r="AL30" i="32"/>
  <c r="AL31" i="32" s="1"/>
  <c r="AL32" i="32" s="1"/>
  <c r="AL33" i="32" s="1"/>
  <c r="AL34" i="32" s="1"/>
  <c r="AL35" i="32" s="1"/>
  <c r="AL36" i="32" s="1"/>
  <c r="AL38" i="32" s="1"/>
  <c r="AL39" i="32" s="1"/>
  <c r="AL40" i="32" s="1"/>
  <c r="AL41" i="32" s="1"/>
  <c r="AL43" i="32" s="1"/>
  <c r="AL44" i="32" s="1"/>
  <c r="AL45" i="32" s="1"/>
  <c r="AL46" i="32" s="1"/>
  <c r="AL49" i="32" s="1"/>
  <c r="AL50" i="32" s="1"/>
  <c r="AL51" i="32" s="1"/>
  <c r="AL53" i="32" s="1"/>
  <c r="AQ42" i="32"/>
  <c r="AR43" i="32"/>
  <c r="AR42" i="32" s="1"/>
  <c r="AS42" i="32" s="1"/>
  <c r="AQ22" i="32"/>
  <c r="AR23" i="32"/>
  <c r="AR22" i="32" s="1"/>
  <c r="AS22" i="32" s="1"/>
  <c r="AQ15" i="32"/>
  <c r="AR16" i="32"/>
  <c r="AR15" i="32" s="1"/>
  <c r="AS15" i="32" s="1"/>
  <c r="AQ19" i="32"/>
  <c r="AR12" i="32"/>
  <c r="AS12" i="32" s="1"/>
  <c r="AQ12" i="32"/>
  <c r="AR77" i="32" l="1"/>
  <c r="AS77" i="32" s="1"/>
  <c r="AT77" i="32" s="1"/>
  <c r="V13" i="33"/>
  <c r="V14" i="33" s="1"/>
  <c r="Y159" i="32"/>
  <c r="Z159" i="32" s="1"/>
  <c r="H59" i="33" s="1"/>
  <c r="Y136" i="32"/>
  <c r="G52" i="33" s="1"/>
  <c r="I52" i="33" s="1"/>
  <c r="Y57" i="32"/>
  <c r="G38" i="33" s="1"/>
  <c r="I38" i="33" s="1"/>
  <c r="AT48" i="32"/>
  <c r="Y157" i="32"/>
  <c r="Z157" i="32" s="1"/>
  <c r="H58" i="33" s="1"/>
  <c r="Y71" i="32"/>
  <c r="G41" i="33" s="1"/>
  <c r="I41" i="33" s="1"/>
  <c r="AT71" i="32"/>
  <c r="AU149" i="32"/>
  <c r="AV149" i="32" s="1"/>
  <c r="Y111" i="32"/>
  <c r="Z111" i="32" s="1"/>
  <c r="H49" i="33" s="1"/>
  <c r="Y100" i="32"/>
  <c r="G48" i="33" s="1"/>
  <c r="I48" i="33" s="1"/>
  <c r="Y162" i="32"/>
  <c r="G60" i="33" s="1"/>
  <c r="I60" i="33" s="1"/>
  <c r="Y153" i="32"/>
  <c r="Z153" i="32" s="1"/>
  <c r="H56" i="33" s="1"/>
  <c r="Y149" i="32"/>
  <c r="G55" i="33" s="1"/>
  <c r="I55" i="33" s="1"/>
  <c r="AU142" i="32"/>
  <c r="Y142" i="32"/>
  <c r="Z142" i="32" s="1"/>
  <c r="H54" i="33" s="1"/>
  <c r="Y133" i="32"/>
  <c r="Z133" i="32" s="1"/>
  <c r="H51" i="33" s="1"/>
  <c r="AT74" i="32"/>
  <c r="Y74" i="32"/>
  <c r="G42" i="33" s="1"/>
  <c r="I42" i="33" s="1"/>
  <c r="Y48" i="32"/>
  <c r="G36" i="33" s="1"/>
  <c r="I36" i="33" s="1"/>
  <c r="Y29" i="32"/>
  <c r="G32" i="33" s="1"/>
  <c r="I32" i="33" s="1"/>
  <c r="AT29" i="32"/>
  <c r="AU153" i="32"/>
  <c r="AV153" i="32" s="1"/>
  <c r="AT157" i="32"/>
  <c r="AU157" i="32" s="1"/>
  <c r="AT80" i="32"/>
  <c r="AT122" i="32"/>
  <c r="Y87" i="32"/>
  <c r="Z87" i="32" s="1"/>
  <c r="H46" i="33" s="1"/>
  <c r="AT87" i="32"/>
  <c r="Y61" i="32"/>
  <c r="G40" i="33" s="1"/>
  <c r="I40" i="33" s="1"/>
  <c r="Y94" i="32"/>
  <c r="Z94" i="32" s="1"/>
  <c r="H47" i="33" s="1"/>
  <c r="G37" i="33"/>
  <c r="I37" i="33" s="1"/>
  <c r="AT52" i="32"/>
  <c r="AL54" i="32"/>
  <c r="AL55" i="32" s="1"/>
  <c r="AL56" i="32" s="1"/>
  <c r="AL58" i="32" s="1"/>
  <c r="AL59" i="32" s="1"/>
  <c r="AL62" i="32" s="1"/>
  <c r="AL63" i="32" s="1"/>
  <c r="AL64" i="32" s="1"/>
  <c r="AL65" i="32" s="1"/>
  <c r="AL66" i="32" s="1"/>
  <c r="AL67" i="32" s="1"/>
  <c r="AL68" i="32" s="1"/>
  <c r="AT12" i="32"/>
  <c r="AT15" i="32"/>
  <c r="Z52" i="32"/>
  <c r="H37" i="33" s="1"/>
  <c r="AT19" i="32"/>
  <c r="AT22" i="32"/>
  <c r="AT37" i="32"/>
  <c r="AT42" i="32"/>
  <c r="Y37" i="32"/>
  <c r="Y12" i="32"/>
  <c r="Y15" i="32"/>
  <c r="Y42" i="32"/>
  <c r="C21" i="32"/>
  <c r="A12" i="35" s="1"/>
  <c r="Y22" i="32"/>
  <c r="G50" i="33"/>
  <c r="I50" i="33" s="1"/>
  <c r="Z122" i="32"/>
  <c r="H50" i="33" s="1"/>
  <c r="Y19" i="32"/>
  <c r="G44" i="33"/>
  <c r="I44" i="33" s="1"/>
  <c r="Z80" i="32"/>
  <c r="H44" i="33" s="1"/>
  <c r="AU42" i="32" l="1"/>
  <c r="Y77" i="32"/>
  <c r="Z77" i="32" s="1"/>
  <c r="H43" i="33" s="1"/>
  <c r="AU74" i="32"/>
  <c r="AV74" i="32" s="1"/>
  <c r="AU159" i="32"/>
  <c r="AV159" i="32" s="1"/>
  <c r="AU162" i="32"/>
  <c r="AV162" i="32" s="1"/>
  <c r="AU52" i="32"/>
  <c r="AV52" i="32" s="1"/>
  <c r="AU29" i="32"/>
  <c r="AV29" i="32" s="1"/>
  <c r="AU80" i="32"/>
  <c r="AV80" i="32" s="1"/>
  <c r="AU77" i="32"/>
  <c r="AV77" i="32" s="1"/>
  <c r="AU133" i="32"/>
  <c r="AV133" i="32" s="1"/>
  <c r="AU136" i="32"/>
  <c r="AV136" i="32" s="1"/>
  <c r="AU122" i="32"/>
  <c r="AV122" i="32" s="1"/>
  <c r="AU71" i="32"/>
  <c r="AV71" i="32" s="1"/>
  <c r="AU61" i="32"/>
  <c r="AV61" i="32" s="1"/>
  <c r="AU57" i="32"/>
  <c r="AV57" i="32" s="1"/>
  <c r="AU22" i="32"/>
  <c r="AV22" i="32" s="1"/>
  <c r="AU100" i="32"/>
  <c r="AV100" i="32" s="1"/>
  <c r="AU94" i="32"/>
  <c r="AV94" i="32" s="1"/>
  <c r="AU87" i="32"/>
  <c r="AV87" i="32" s="1"/>
  <c r="AU111" i="32"/>
  <c r="AV111" i="32" s="1"/>
  <c r="AU48" i="32"/>
  <c r="AV48" i="32" s="1"/>
  <c r="AU37" i="32"/>
  <c r="AV37" i="32" s="1"/>
  <c r="AU19" i="32"/>
  <c r="AV19" i="32" s="1"/>
  <c r="AU15" i="32"/>
  <c r="AV15" i="32" s="1"/>
  <c r="G59" i="33"/>
  <c r="I59" i="33" s="1"/>
  <c r="AL69" i="32"/>
  <c r="AL70" i="32" s="1"/>
  <c r="AL72" i="32" s="1"/>
  <c r="AL73" i="32" s="1"/>
  <c r="AL75" i="32" s="1"/>
  <c r="AL76" i="32" s="1"/>
  <c r="AU12" i="32"/>
  <c r="Z57" i="32"/>
  <c r="H38" i="33" s="1"/>
  <c r="Z29" i="32"/>
  <c r="H32" i="33" s="1"/>
  <c r="G49" i="33"/>
  <c r="I49" i="33" s="1"/>
  <c r="Z136" i="32"/>
  <c r="H52" i="33" s="1"/>
  <c r="G58" i="33"/>
  <c r="I58" i="33" s="1"/>
  <c r="G46" i="33"/>
  <c r="I46" i="33" s="1"/>
  <c r="Z162" i="32"/>
  <c r="H60" i="33" s="1"/>
  <c r="Z71" i="32"/>
  <c r="H41" i="33" s="1"/>
  <c r="G51" i="33"/>
  <c r="I51" i="33" s="1"/>
  <c r="Z48" i="32"/>
  <c r="H36" i="33" s="1"/>
  <c r="Z149" i="32"/>
  <c r="H55" i="33" s="1"/>
  <c r="Z74" i="32"/>
  <c r="H42" i="33" s="1"/>
  <c r="G54" i="33"/>
  <c r="I54" i="33" s="1"/>
  <c r="G56" i="33"/>
  <c r="I56" i="33" s="1"/>
  <c r="Z100" i="32"/>
  <c r="H48" i="33" s="1"/>
  <c r="G47" i="33"/>
  <c r="I47" i="33" s="1"/>
  <c r="Z61" i="32"/>
  <c r="H40" i="33" s="1"/>
  <c r="AU141" i="32"/>
  <c r="G33" i="33"/>
  <c r="I33" i="33" s="1"/>
  <c r="Z37" i="32"/>
  <c r="H33" i="33" s="1"/>
  <c r="AV142" i="32"/>
  <c r="AV141" i="32" s="1"/>
  <c r="AY141" i="32" s="1"/>
  <c r="C23" i="32"/>
  <c r="A14" i="35" s="1"/>
  <c r="D30" i="33"/>
  <c r="G27" i="33"/>
  <c r="Z12" i="32"/>
  <c r="H27" i="33" s="1"/>
  <c r="AV157" i="32"/>
  <c r="AV42" i="32"/>
  <c r="G30" i="33"/>
  <c r="I30" i="33" s="1"/>
  <c r="Z22" i="32"/>
  <c r="H30" i="33" s="1"/>
  <c r="G34" i="33"/>
  <c r="I34" i="33" s="1"/>
  <c r="Z42" i="32"/>
  <c r="H34" i="33" s="1"/>
  <c r="G29" i="33"/>
  <c r="I29" i="33" s="1"/>
  <c r="Z19" i="32"/>
  <c r="H29" i="33" s="1"/>
  <c r="G28" i="33"/>
  <c r="I28" i="33" s="1"/>
  <c r="Z15" i="32"/>
  <c r="H28" i="33" s="1"/>
  <c r="G43" i="33" l="1"/>
  <c r="I43" i="33" s="1"/>
  <c r="AU156" i="32"/>
  <c r="AV156" i="32"/>
  <c r="AY156" i="32" s="1"/>
  <c r="AV60" i="32"/>
  <c r="AW60" i="32" s="1"/>
  <c r="Y60" i="32" s="1"/>
  <c r="AU60" i="32"/>
  <c r="AV47" i="32"/>
  <c r="AY47" i="32" s="1"/>
  <c r="AU86" i="32"/>
  <c r="AV86" i="32"/>
  <c r="AY86" i="32" s="1"/>
  <c r="AU47" i="32"/>
  <c r="AL78" i="32"/>
  <c r="AL79" i="32" s="1"/>
  <c r="AL81" i="32" s="1"/>
  <c r="AL82" i="32" s="1"/>
  <c r="AL83" i="32" s="1"/>
  <c r="AW141" i="32"/>
  <c r="Y141" i="32" s="1"/>
  <c r="G53" i="33" s="1"/>
  <c r="AV28" i="32"/>
  <c r="AW28" i="32" s="1"/>
  <c r="Y28" i="32" s="1"/>
  <c r="AU28" i="32"/>
  <c r="C24" i="32"/>
  <c r="A15" i="35" s="1"/>
  <c r="AV12" i="32"/>
  <c r="AV11" i="32" s="1"/>
  <c r="AU11" i="32"/>
  <c r="I27" i="33"/>
  <c r="AW156" i="32" l="1"/>
  <c r="Y156" i="32" s="1"/>
  <c r="G57" i="33" s="1"/>
  <c r="C55" i="27"/>
  <c r="W53" i="33"/>
  <c r="AY60" i="32"/>
  <c r="AW47" i="32"/>
  <c r="Y47" i="32" s="1"/>
  <c r="G35" i="33" s="1"/>
  <c r="AW86" i="32"/>
  <c r="Y86" i="32" s="1"/>
  <c r="Z86" i="32" s="1"/>
  <c r="H45" i="33" s="1"/>
  <c r="AL84" i="32"/>
  <c r="AL85" i="32" s="1"/>
  <c r="AL88" i="32" s="1"/>
  <c r="AL89" i="32" s="1"/>
  <c r="AL90" i="32" s="1"/>
  <c r="AL91" i="32" s="1"/>
  <c r="Z141" i="32"/>
  <c r="H53" i="33" s="1"/>
  <c r="AY28" i="32"/>
  <c r="G31" i="33"/>
  <c r="W31" i="33" s="1"/>
  <c r="Z28" i="32"/>
  <c r="H31" i="33" s="1"/>
  <c r="I53" i="33"/>
  <c r="C25" i="32"/>
  <c r="A16" i="35" s="1"/>
  <c r="G39" i="33"/>
  <c r="Z60" i="32"/>
  <c r="H39" i="33" s="1"/>
  <c r="AW11" i="32"/>
  <c r="Y11" i="32" s="1"/>
  <c r="AY11" i="32"/>
  <c r="Z156" i="32" l="1"/>
  <c r="H57" i="33" s="1"/>
  <c r="D55" i="27"/>
  <c r="W39" i="33"/>
  <c r="C64" i="27"/>
  <c r="W57" i="33"/>
  <c r="W35" i="33"/>
  <c r="Z47" i="32"/>
  <c r="H35" i="33" s="1"/>
  <c r="G45" i="33"/>
  <c r="AL92" i="32"/>
  <c r="AL93" i="32" s="1"/>
  <c r="AL95" i="32" s="1"/>
  <c r="AL96" i="32" s="1"/>
  <c r="AL97" i="32" s="1"/>
  <c r="AL98" i="32" s="1"/>
  <c r="C26" i="32"/>
  <c r="A17" i="35" s="1"/>
  <c r="C37" i="27"/>
  <c r="D37" i="27" s="1"/>
  <c r="I39" i="33"/>
  <c r="I57" i="33"/>
  <c r="G26" i="33"/>
  <c r="Z11" i="32"/>
  <c r="H26" i="33" s="1"/>
  <c r="C28" i="27"/>
  <c r="I35" i="33"/>
  <c r="C19" i="27"/>
  <c r="D19" i="27" s="1"/>
  <c r="I31" i="33"/>
  <c r="N15" i="33"/>
  <c r="N13" i="33"/>
  <c r="D64" i="27" l="1"/>
  <c r="C46" i="27"/>
  <c r="D46" i="27" s="1"/>
  <c r="W45" i="33"/>
  <c r="W27" i="33"/>
  <c r="D28" i="27"/>
  <c r="N14" i="33"/>
  <c r="N16" i="33"/>
  <c r="I45" i="33"/>
  <c r="AL99" i="32"/>
  <c r="AL101" i="32" s="1"/>
  <c r="AL102" i="32" s="1"/>
  <c r="AL103" i="32" s="1"/>
  <c r="AL104" i="32" s="1"/>
  <c r="AL105" i="32" s="1"/>
  <c r="AL106" i="32" s="1"/>
  <c r="C10" i="27"/>
  <c r="D10" i="27" s="1"/>
  <c r="I26" i="33"/>
  <c r="C27" i="32"/>
  <c r="A18" i="35" s="1"/>
  <c r="X53" i="33" l="1"/>
  <c r="Y53" i="33" s="1"/>
  <c r="X57" i="33"/>
  <c r="Y57" i="33" s="1"/>
  <c r="X39" i="33"/>
  <c r="Y39" i="33" s="1"/>
  <c r="X31" i="33"/>
  <c r="Y31" i="33" s="1"/>
  <c r="X35" i="33"/>
  <c r="Y35" i="33" s="1"/>
  <c r="X45" i="33"/>
  <c r="Y45" i="33" s="1"/>
  <c r="X27" i="33"/>
  <c r="Y27" i="33" s="1"/>
  <c r="N12" i="33"/>
  <c r="AL107" i="32"/>
  <c r="AL108" i="32" s="1"/>
  <c r="AL109" i="32" s="1"/>
  <c r="AL110" i="32" s="1"/>
  <c r="AL112" i="32" s="1"/>
  <c r="AL113" i="32" s="1"/>
  <c r="AL114" i="32" s="1"/>
  <c r="AL115" i="32" s="1"/>
  <c r="AL116" i="32" s="1"/>
  <c r="AL117" i="32" s="1"/>
  <c r="AL118" i="32" s="1"/>
  <c r="C30" i="32"/>
  <c r="A21" i="35" s="1"/>
  <c r="H25" i="33" l="1"/>
  <c r="G25" i="33" s="1"/>
  <c r="I25" i="33" s="1"/>
  <c r="AL119" i="32"/>
  <c r="C31" i="32"/>
  <c r="A22" i="35" s="1"/>
  <c r="H10" i="33" l="1"/>
  <c r="AL120" i="32"/>
  <c r="AL121" i="32" s="1"/>
  <c r="AL123" i="32" s="1"/>
  <c r="AL124" i="32" s="1"/>
  <c r="AL125" i="32" s="1"/>
  <c r="AL126" i="32" s="1"/>
  <c r="I10" i="33"/>
  <c r="C32" i="32"/>
  <c r="A23" i="35" s="1"/>
  <c r="AL127" i="32" l="1"/>
  <c r="AL128" i="32" s="1"/>
  <c r="C33" i="32"/>
  <c r="A24" i="35" s="1"/>
  <c r="AL129" i="32" l="1"/>
  <c r="C34" i="32"/>
  <c r="A25" i="35" s="1"/>
  <c r="AL130" i="32" l="1"/>
  <c r="AL131" i="32" s="1"/>
  <c r="AL132" i="32" s="1"/>
  <c r="AL134" i="32" s="1"/>
  <c r="AL135" i="32" s="1"/>
  <c r="C35" i="32"/>
  <c r="A26" i="35" s="1"/>
  <c r="AL137" i="32" l="1"/>
  <c r="AL138" i="32" s="1"/>
  <c r="C36" i="32"/>
  <c r="A27" i="35" s="1"/>
  <c r="AL139" i="32" l="1"/>
  <c r="C38" i="32"/>
  <c r="A29" i="35" s="1"/>
  <c r="AL140" i="32" l="1"/>
  <c r="AL143" i="32" s="1"/>
  <c r="AL144" i="32" s="1"/>
  <c r="AL145" i="32" s="1"/>
  <c r="AL146" i="32" s="1"/>
  <c r="AL147" i="32" s="1"/>
  <c r="AL148" i="32" s="1"/>
  <c r="AL150" i="32" s="1"/>
  <c r="C39" i="32"/>
  <c r="A30" i="35" s="1"/>
  <c r="C40" i="32" l="1"/>
  <c r="A31" i="35" s="1"/>
  <c r="AL151" i="32" l="1"/>
  <c r="AL152" i="32" s="1"/>
  <c r="AL154" i="32" s="1"/>
  <c r="AL155" i="32" s="1"/>
  <c r="AL158" i="32" s="1"/>
  <c r="C41" i="32"/>
  <c r="A32" i="35" s="1"/>
  <c r="AL160" i="32" l="1"/>
  <c r="AL161" i="32" s="1"/>
  <c r="AL163" i="32" s="1"/>
  <c r="C43" i="32"/>
  <c r="A34" i="35" s="1"/>
  <c r="T12" i="33" l="1"/>
  <c r="U12" i="33"/>
  <c r="C44" i="32"/>
  <c r="A35" i="35" s="1"/>
  <c r="B18" i="33" l="1"/>
  <c r="P12" i="33"/>
  <c r="B9" i="33"/>
  <c r="C45" i="32"/>
  <c r="A36" i="35" s="1"/>
  <c r="O15" i="33" l="1"/>
  <c r="O16" i="33"/>
  <c r="O13" i="33"/>
  <c r="O14" i="33"/>
  <c r="C46" i="32"/>
  <c r="A37" i="35" s="1"/>
  <c r="C49" i="32" l="1"/>
  <c r="A40" i="35" s="1"/>
  <c r="C50" i="32" l="1"/>
  <c r="A41" i="35" s="1"/>
  <c r="C51" i="32" l="1"/>
  <c r="A42" i="35" s="1"/>
  <c r="C53" i="32" l="1"/>
  <c r="A44" i="35" s="1"/>
  <c r="C54" i="32" l="1"/>
  <c r="A45" i="35" s="1"/>
  <c r="C55" i="32" l="1"/>
  <c r="A46" i="35" s="1"/>
  <c r="C56" i="32" l="1"/>
  <c r="A47" i="35" s="1"/>
  <c r="C58" i="32" l="1"/>
  <c r="A49" i="35" s="1"/>
  <c r="C59" i="32" l="1"/>
  <c r="A50" i="35" s="1"/>
  <c r="C62" i="32" l="1"/>
  <c r="A53" i="35" s="1"/>
  <c r="C63" i="32" l="1"/>
  <c r="A54" i="35" s="1"/>
  <c r="C64" i="32" l="1"/>
  <c r="A55" i="35" s="1"/>
  <c r="C65" i="32" l="1"/>
  <c r="A56" i="35" s="1"/>
  <c r="C66" i="32" l="1"/>
  <c r="A57" i="35" s="1"/>
  <c r="C67" i="32" l="1"/>
  <c r="A58" i="35" s="1"/>
  <c r="C68" i="32" l="1"/>
  <c r="A59" i="35" s="1"/>
  <c r="C69" i="32" l="1"/>
  <c r="A60" i="35" s="1"/>
  <c r="C70" i="32" l="1"/>
  <c r="A61" i="35" s="1"/>
  <c r="C72" i="32" l="1"/>
  <c r="A63" i="35" s="1"/>
  <c r="C73" i="32" l="1"/>
  <c r="A64" i="35" s="1"/>
  <c r="C75" i="32" l="1"/>
  <c r="A66" i="35" s="1"/>
  <c r="C76" i="32" l="1"/>
  <c r="A67" i="35" s="1"/>
  <c r="C78" i="32" l="1"/>
  <c r="A69" i="35" s="1"/>
  <c r="C79" i="32" l="1"/>
  <c r="A70" i="35" s="1"/>
  <c r="C81" i="32" l="1"/>
  <c r="A72" i="35" s="1"/>
  <c r="C82" i="32" l="1"/>
  <c r="C83" i="32" l="1"/>
  <c r="A74" i="35" s="1"/>
  <c r="A73" i="35"/>
  <c r="C84" i="32" l="1"/>
  <c r="A75" i="35" s="1"/>
  <c r="C85" i="32" l="1"/>
  <c r="A76" i="35" s="1"/>
  <c r="C88" i="32"/>
  <c r="A79" i="35" s="1"/>
  <c r="C89" i="32" l="1"/>
  <c r="A80" i="35" s="1"/>
  <c r="C90" i="32" l="1"/>
  <c r="A81" i="35" s="1"/>
  <c r="C91" i="32" l="1"/>
  <c r="A82" i="35" s="1"/>
  <c r="C92" i="32" l="1"/>
  <c r="A83" i="35" s="1"/>
  <c r="C93" i="32" l="1"/>
  <c r="A84" i="35" s="1"/>
  <c r="C95" i="32" l="1"/>
  <c r="A86" i="35" s="1"/>
  <c r="C96" i="32" l="1"/>
  <c r="A87" i="35" s="1"/>
  <c r="C97" i="32" l="1"/>
  <c r="A88" i="35" s="1"/>
  <c r="C98" i="32" l="1"/>
  <c r="A89" i="35" s="1"/>
  <c r="C99" i="32" l="1"/>
  <c r="A90" i="35" s="1"/>
  <c r="C101" i="32" l="1"/>
  <c r="A92" i="35" s="1"/>
  <c r="C102" i="32" l="1"/>
  <c r="A93" i="35" s="1"/>
  <c r="C103" i="32" l="1"/>
  <c r="A94" i="35" s="1"/>
  <c r="C104" i="32" l="1"/>
  <c r="A95" i="35" s="1"/>
  <c r="C105" i="32" l="1"/>
  <c r="A96" i="35" s="1"/>
  <c r="C106" i="32" l="1"/>
  <c r="A97" i="35" s="1"/>
  <c r="C107" i="32" l="1"/>
  <c r="A98" i="35" s="1"/>
  <c r="C110" i="32" l="1"/>
  <c r="A101" i="35" s="1"/>
  <c r="C108" i="32"/>
  <c r="A99" i="35" s="1"/>
  <c r="C109" i="32" l="1"/>
  <c r="A100" i="35" s="1"/>
  <c r="C112" i="32"/>
  <c r="A103" i="35" s="1"/>
  <c r="C113" i="32" l="1"/>
  <c r="A104" i="35" s="1"/>
  <c r="C114" i="32" l="1"/>
  <c r="A105" i="35" s="1"/>
  <c r="C115" i="32" l="1"/>
  <c r="A106" i="35" s="1"/>
  <c r="C116" i="32" l="1"/>
  <c r="A107" i="35" s="1"/>
  <c r="C117" i="32" l="1"/>
  <c r="A108" i="35" s="1"/>
  <c r="C118" i="32" l="1"/>
  <c r="A109" i="35" s="1"/>
  <c r="C119" i="32" l="1"/>
  <c r="A110" i="35" s="1"/>
  <c r="C120" i="32" l="1"/>
  <c r="A111" i="35" s="1"/>
  <c r="C121" i="32" l="1"/>
  <c r="A112" i="35" s="1"/>
  <c r="C123" i="32" l="1"/>
  <c r="A114" i="35" s="1"/>
  <c r="C124" i="32" l="1"/>
  <c r="A115" i="35" s="1"/>
  <c r="C125" i="32" l="1"/>
  <c r="A116" i="35" s="1"/>
  <c r="C126" i="32" l="1"/>
  <c r="A117" i="35" s="1"/>
  <c r="D47" i="33"/>
  <c r="D42" i="33"/>
  <c r="D38" i="33"/>
  <c r="D49" i="33"/>
  <c r="D32" i="33"/>
  <c r="D48" i="33"/>
  <c r="D34" i="33"/>
  <c r="D50" i="33"/>
  <c r="D46" i="33"/>
  <c r="D40" i="33"/>
  <c r="D33" i="33"/>
  <c r="D41" i="33"/>
  <c r="D44" i="33"/>
  <c r="D36" i="33"/>
  <c r="D37" i="33"/>
  <c r="D43" i="33"/>
  <c r="C127" i="32" l="1"/>
  <c r="A118" i="35" s="1"/>
  <c r="C128" i="32" l="1"/>
  <c r="A119" i="35" s="1"/>
  <c r="C129" i="32" l="1"/>
  <c r="A120" i="35" s="1"/>
  <c r="C130" i="32" l="1"/>
  <c r="A121" i="35" s="1"/>
  <c r="C131" i="32" l="1"/>
  <c r="A122" i="35" s="1"/>
  <c r="C132" i="32" l="1"/>
  <c r="A123" i="35" s="1"/>
  <c r="D51" i="33" l="1"/>
  <c r="C134" i="32"/>
  <c r="A125" i="35" s="1"/>
  <c r="C135" i="32" l="1"/>
  <c r="A126" i="35" s="1"/>
  <c r="D52" i="33" l="1"/>
  <c r="C137" i="32"/>
  <c r="A128" i="35" s="1"/>
  <c r="C138" i="32" l="1"/>
  <c r="A129" i="35" s="1"/>
  <c r="C139" i="32" l="1"/>
  <c r="A130" i="35" s="1"/>
  <c r="C140" i="32" l="1"/>
  <c r="A131" i="35" s="1"/>
  <c r="D54" i="33" l="1"/>
  <c r="C143" i="32"/>
  <c r="A134" i="35" s="1"/>
  <c r="C144" i="32" l="1"/>
  <c r="A135" i="35" s="1"/>
  <c r="C145" i="32" l="1"/>
  <c r="A136" i="35" s="1"/>
  <c r="C146" i="32" l="1"/>
  <c r="A137" i="35" s="1"/>
  <c r="C147" i="32" l="1"/>
  <c r="A138" i="35" s="1"/>
  <c r="C148" i="32" l="1"/>
  <c r="A139" i="35" s="1"/>
  <c r="D55" i="33"/>
  <c r="C150" i="32" l="1"/>
  <c r="A141" i="35" s="1"/>
  <c r="C151" i="32" l="1"/>
  <c r="A142" i="35" s="1"/>
  <c r="C152" i="32" l="1"/>
  <c r="A143" i="35" s="1"/>
  <c r="D56" i="33" l="1"/>
  <c r="C154" i="32"/>
  <c r="A145" i="35" s="1"/>
  <c r="D58" i="33" l="1"/>
  <c r="C155" i="32"/>
  <c r="A146" i="35" s="1"/>
  <c r="C158" i="32" l="1"/>
  <c r="A149" i="35" s="1"/>
  <c r="C160" i="32" l="1"/>
  <c r="A151" i="35" s="1"/>
  <c r="D59" i="33"/>
  <c r="C161" i="32" l="1"/>
  <c r="A152" i="35" s="1"/>
  <c r="C163" i="32" l="1"/>
  <c r="A154" i="35" s="1"/>
  <c r="D60" i="33"/>
</calcChain>
</file>

<file path=xl/comments1.xml><?xml version="1.0" encoding="utf-8"?>
<comments xmlns="http://schemas.openxmlformats.org/spreadsheetml/2006/main">
  <authors>
    <author>isabelle</author>
    <author>Acer Note</author>
  </authors>
  <commentList>
    <comment ref="A17" authorId="0" shapeId="0">
      <text>
        <r>
          <rPr>
            <sz val="8"/>
            <color indexed="81"/>
            <rFont val="Arial"/>
            <family val="2"/>
          </rPr>
          <t xml:space="preserve">
Les</t>
        </r>
        <r>
          <rPr>
            <b/>
            <sz val="8"/>
            <color indexed="81"/>
            <rFont val="Arial"/>
            <family val="2"/>
          </rPr>
          <t xml:space="preserve"> intervalles des taux de correspondance </t>
        </r>
        <r>
          <rPr>
            <sz val="8"/>
            <color indexed="81"/>
            <rFont val="Arial"/>
            <family val="2"/>
          </rPr>
          <t>peuvent être modifiés en changeant simplement</t>
        </r>
        <r>
          <rPr>
            <b/>
            <sz val="8"/>
            <color indexed="81"/>
            <rFont val="Arial"/>
            <family val="2"/>
          </rPr>
          <t xml:space="preserve"> la limite minimale de l’intervalle.</t>
        </r>
        <r>
          <rPr>
            <sz val="8"/>
            <color indexed="81"/>
            <rFont val="Arial"/>
            <family val="2"/>
          </rPr>
          <t xml:space="preserve"> Ainsi, l’utilisateur peut choisir les intervalles des  niveaux de conformité correspondant à ses attentes du système de management de la qualité de l’organisme. 
L’utilisateur choisit les intervalles de conformité, ainsi, </t>
        </r>
        <r>
          <rPr>
            <b/>
            <sz val="8"/>
            <color indexed="81"/>
            <rFont val="Arial"/>
            <family val="2"/>
          </rPr>
          <t xml:space="preserve">les taux de suivi </t>
        </r>
        <r>
          <rPr>
            <sz val="8"/>
            <color indexed="81"/>
            <rFont val="Arial"/>
            <family val="2"/>
          </rPr>
          <t>correspondant à chaque choix de véracité sont calculés automatiquement en étant la médiane de chaque intervalle sauf pour les deux extrémités « Faux » et « Vrai » qui correspondent à des taux de véracité, respectivement, de 0% et 100%.</t>
        </r>
      </text>
    </comment>
    <comment ref="E22" authorId="1" shapeId="0">
      <text>
        <r>
          <rPr>
            <b/>
            <sz val="9"/>
            <color indexed="81"/>
            <rFont val="Segoe UI"/>
            <family val="2"/>
          </rPr>
          <t>SMR Projet:</t>
        </r>
        <r>
          <rPr>
            <sz val="9"/>
            <color indexed="81"/>
            <rFont val="Segoe UI"/>
            <family val="2"/>
          </rPr>
          <t xml:space="preserve">
Ce taux correspond au minimum pour obtenir la déclaration via l'onglet "Déclaration" </t>
        </r>
      </text>
    </comment>
  </commentList>
</comments>
</file>

<file path=xl/comments2.xml><?xml version="1.0" encoding="utf-8"?>
<comments xmlns="http://schemas.openxmlformats.org/spreadsheetml/2006/main">
  <authors>
    <author>Angelique HAMONET</author>
  </authors>
  <commentList>
    <comment ref="W154" authorId="0" shapeId="0">
      <text>
        <r>
          <rPr>
            <b/>
            <sz val="9"/>
            <color indexed="81"/>
            <rFont val="Tahoma"/>
            <family val="2"/>
          </rPr>
          <t>Angelique HAMONET:</t>
        </r>
        <r>
          <rPr>
            <sz val="9"/>
            <color indexed="81"/>
            <rFont val="Tahoma"/>
            <family val="2"/>
          </rPr>
          <t xml:space="preserve">
a) l’état d’avancement des actions décidées à l’issue des revues de direction précédentes;
b) les modifications des enjeux externes et internes pertinents pour le système de management de la qualité;
c) les informations sur la performance et l’efficacité du système de management de la qualité, y compris les tendances concernant:
1) la satisfaction des clients et les retours d’information des parties intéressées pertinentes;
2) le degré de réalisation des objectifs qualité;
3) la performance des processus et la conformité des produits et services;
4) les non-conformités et les actions correctives;
5) les résultats de la surveillance et de la mesure;
6) les résultats d’audit;
7) les performances des prestataires externes;</t>
        </r>
      </text>
    </comment>
    <comment ref="W155" authorId="0" shapeId="0">
      <text>
        <r>
          <rPr>
            <b/>
            <sz val="9"/>
            <color indexed="81"/>
            <rFont val="Tahoma"/>
            <family val="2"/>
          </rPr>
          <t>Angelique HAMONET:</t>
        </r>
        <r>
          <rPr>
            <sz val="9"/>
            <color indexed="81"/>
            <rFont val="Tahoma"/>
            <family val="2"/>
          </rPr>
          <t xml:space="preserve">
Les éléments de sortie de la revue de direction doivent inclure les décisions et actions relatives aux:
a) opportunités d’amélioration;
b) besoins de changements à apporter au système de management de la qualité;
c) besoins en ressources.</t>
        </r>
      </text>
    </comment>
  </commentList>
</comments>
</file>

<file path=xl/sharedStrings.xml><?xml version="1.0" encoding="utf-8"?>
<sst xmlns="http://schemas.openxmlformats.org/spreadsheetml/2006/main" count="1759" uniqueCount="654">
  <si>
    <t>Etablissement :</t>
  </si>
  <si>
    <t>Evaluations</t>
  </si>
  <si>
    <t>Taux %</t>
  </si>
  <si>
    <r>
      <t>Date</t>
    </r>
    <r>
      <rPr>
        <sz val="7"/>
        <rFont val="Arial"/>
        <family val="2"/>
      </rPr>
      <t xml:space="preserve"> de l'autodiagnostic : </t>
    </r>
  </si>
  <si>
    <t>Nb d'Articles</t>
  </si>
  <si>
    <t>Nb de critères d'exigences</t>
  </si>
  <si>
    <t>Insuffisant</t>
  </si>
  <si>
    <t>Niveau de RESPECT pour le sous-article</t>
  </si>
  <si>
    <t>Somme des pondérations des Articles</t>
  </si>
  <si>
    <t>Taux moyen de conformité sur la Norme</t>
  </si>
  <si>
    <t>Niveau de RESPECT pour la norme</t>
  </si>
  <si>
    <t>Taux  moyen de CONFORMITÉ pour le sous-article</t>
  </si>
  <si>
    <t>Automatique : pondération de chaque sous- chapitre</t>
  </si>
  <si>
    <t>Tracer la moyenne</t>
  </si>
  <si>
    <t>Histogramme des niveaux de VÉRACITÉ</t>
  </si>
  <si>
    <t>VÉRACITÉ</t>
  </si>
  <si>
    <t>Histogramme des niveaux de CONFORMITÉ</t>
  </si>
  <si>
    <t>CONFORMITÉ</t>
  </si>
  <si>
    <t>: Total ou 0</t>
  </si>
  <si>
    <t>N°</t>
  </si>
  <si>
    <t>Somme des pondérations sur les exigences</t>
  </si>
  <si>
    <t>Taux de CONFORMITÉ pondéré sur l'exigence</t>
  </si>
  <si>
    <t>Taux  moyen de CONFORMITÉ pondéré pour le sous-article</t>
  </si>
  <si>
    <t>Article</t>
  </si>
  <si>
    <t>Sous-Article</t>
  </si>
  <si>
    <t>Impression sur pages A4 100% en format horizontal</t>
  </si>
  <si>
    <t>Paramétrage des affectations selon le N° du choix</t>
  </si>
  <si>
    <t>Niveaux</t>
  </si>
  <si>
    <t>vérifier si Somme = 1 =&gt;  </t>
  </si>
  <si>
    <t>Moyenne générale :</t>
  </si>
  <si>
    <t>Choix proposé</t>
    <phoneticPr fontId="4" type="noConversion"/>
  </si>
  <si>
    <t>Utilitaires pour les CALCULS et les GRAPHIQUES</t>
  </si>
  <si>
    <t>Utilitaires pour l'Autodiagnostic</t>
  </si>
  <si>
    <t>COMMENTAIRES sur les RÉSULTATS obtenus</t>
  </si>
  <si>
    <t>Automatique : pondération de chaque exigence</t>
  </si>
  <si>
    <t>Niveau d'évaluation</t>
  </si>
  <si>
    <r>
      <rPr>
        <b/>
        <sz val="7"/>
        <rFont val="Arial"/>
        <family val="2"/>
      </rPr>
      <t>Responsable</t>
    </r>
    <r>
      <rPr>
        <sz val="7"/>
        <rFont val="Arial"/>
        <family val="2"/>
      </rPr>
      <t xml:space="preserve"> de l'autodiagnostic : </t>
    </r>
  </si>
  <si>
    <t xml:space="preserve">Signature du responsable de l'autodiagnostic :
</t>
  </si>
  <si>
    <t>Utilisé pour  {Exigences} : affectation d'un N° selon le choix réalisé</t>
  </si>
  <si>
    <r>
      <t xml:space="preserve">NB : Vous pouvez modifier les </t>
    </r>
    <r>
      <rPr>
        <b/>
        <sz val="8"/>
        <color indexed="39"/>
        <rFont val="Arial"/>
        <family val="2"/>
      </rPr>
      <t>limites minimales</t>
    </r>
    <r>
      <rPr>
        <sz val="8"/>
        <color indexed="39"/>
        <rFont val="Arial"/>
        <family val="2"/>
      </rPr>
      <t xml:space="preserve"> ci-dessus des</t>
    </r>
    <r>
      <rPr>
        <sz val="8"/>
        <color indexed="39"/>
        <rFont val="Arial"/>
        <family val="2"/>
      </rPr>
      <t xml:space="preserve"> intervalles de conformité</t>
    </r>
  </si>
  <si>
    <t xml:space="preserve">Responsable : </t>
  </si>
  <si>
    <t>Nb critères</t>
  </si>
  <si>
    <t>Total des critères</t>
  </si>
  <si>
    <t>Ecart vs Total des critères</t>
  </si>
  <si>
    <r>
      <rPr>
        <sz val="7.5"/>
        <rFont val="Arial"/>
        <family val="2"/>
      </rPr>
      <t xml:space="preserve">Taux moyen 
</t>
    </r>
    <r>
      <rPr>
        <b/>
        <sz val="7.5"/>
        <rFont val="Arial"/>
        <family val="2"/>
      </rPr>
      <t>Minimal</t>
    </r>
  </si>
  <si>
    <r>
      <t xml:space="preserve">Taux moyen
</t>
    </r>
    <r>
      <rPr>
        <b/>
        <sz val="7.5"/>
        <rFont val="Arial"/>
        <family val="2"/>
      </rPr>
      <t>Maximal</t>
    </r>
  </si>
  <si>
    <t>NOM et Prénom</t>
  </si>
  <si>
    <t>Tél :</t>
  </si>
  <si>
    <t>@ :</t>
  </si>
  <si>
    <t>NOM et Prénom du Responsable Qualité</t>
  </si>
  <si>
    <t>Incomplet</t>
  </si>
  <si>
    <t>Satisfaisant</t>
  </si>
  <si>
    <t>Total</t>
  </si>
  <si>
    <t>Choix Réalisé</t>
  </si>
  <si>
    <t>Nº du choix</t>
  </si>
  <si>
    <t>Quantité des questions</t>
  </si>
  <si>
    <t>Nom et Prénom des participants</t>
  </si>
  <si>
    <t>Email :</t>
  </si>
  <si>
    <t>Responsable :</t>
  </si>
  <si>
    <r>
      <rPr>
        <b/>
        <sz val="8"/>
        <color indexed="39"/>
        <rFont val="Arial"/>
        <family val="2"/>
      </rPr>
      <t xml:space="preserve">Attention : </t>
    </r>
    <r>
      <rPr>
        <sz val="8"/>
        <color indexed="39"/>
        <rFont val="Arial"/>
        <family val="2"/>
      </rPr>
      <t>Seules les cases blanches écrites en bleu peuvent être modifiées par l’utilisateur. Cela concerne toutes les parties de l’outil.</t>
    </r>
  </si>
  <si>
    <t>DESCRIPTION DE L'OUTIL</t>
  </si>
  <si>
    <t>Vous pouvez commenter</t>
  </si>
  <si>
    <r>
      <t xml:space="preserve">Niveaux de </t>
    </r>
    <r>
      <rPr>
        <b/>
        <sz val="7.5"/>
        <rFont val="Arial"/>
        <family val="2"/>
      </rPr>
      <t>SUIVI</t>
    </r>
  </si>
  <si>
    <r>
      <t xml:space="preserve">Libellés explicites 
</t>
    </r>
    <r>
      <rPr>
        <b/>
        <sz val="7.5"/>
        <rFont val="Arial"/>
        <family val="2"/>
      </rPr>
      <t>des niveaux de SUIVI</t>
    </r>
  </si>
  <si>
    <r>
      <t xml:space="preserve">Niveau 1 : Il est nécessaire de </t>
    </r>
    <r>
      <rPr>
        <b/>
        <sz val="8"/>
        <color indexed="10"/>
        <rFont val="Arial"/>
        <family val="2"/>
      </rPr>
      <t>formaliser</t>
    </r>
    <r>
      <rPr>
        <sz val="8"/>
        <color indexed="56"/>
        <rFont val="Arial"/>
        <family val="2"/>
      </rPr>
      <t xml:space="preserve"> les activités réalisées.</t>
    </r>
  </si>
  <si>
    <r>
      <t xml:space="preserve">Niveau 2 : Il est nécessaire de </t>
    </r>
    <r>
      <rPr>
        <b/>
        <sz val="8"/>
        <color indexed="10"/>
        <rFont val="Arial"/>
        <family val="2"/>
      </rPr>
      <t>pérenniser la bonne exécution</t>
    </r>
    <r>
      <rPr>
        <sz val="8"/>
        <color indexed="56"/>
        <rFont val="Arial"/>
        <family val="2"/>
      </rPr>
      <t xml:space="preserve"> des activités.</t>
    </r>
  </si>
  <si>
    <r>
      <t xml:space="preserve">Niveau 3 : Il est nécessaire de </t>
    </r>
    <r>
      <rPr>
        <b/>
        <sz val="8"/>
        <color indexed="10"/>
        <rFont val="Arial"/>
        <family val="2"/>
      </rPr>
      <t>tracer et d'améliorer</t>
    </r>
    <r>
      <rPr>
        <sz val="8"/>
        <color indexed="56"/>
        <rFont val="Arial"/>
        <family val="2"/>
      </rPr>
      <t xml:space="preserve"> les activités.</t>
    </r>
  </si>
  <si>
    <r>
      <t xml:space="preserve">Niveau 4 : </t>
    </r>
    <r>
      <rPr>
        <b/>
        <sz val="8"/>
        <color indexed="10"/>
        <rFont val="Arial"/>
        <family val="2"/>
      </rPr>
      <t>BRAVO</t>
    </r>
    <r>
      <rPr>
        <b/>
        <sz val="8"/>
        <color indexed="56"/>
        <rFont val="Arial"/>
        <family val="2"/>
      </rPr>
      <t xml:space="preserve"> !</t>
    </r>
    <r>
      <rPr>
        <sz val="8"/>
        <color indexed="56"/>
        <rFont val="Arial"/>
        <family val="2"/>
      </rPr>
      <t xml:space="preserve"> Maintenez et</t>
    </r>
    <r>
      <rPr>
        <sz val="8"/>
        <color indexed="10"/>
        <rFont val="Arial"/>
        <family val="2"/>
      </rPr>
      <t xml:space="preserve"> </t>
    </r>
    <r>
      <rPr>
        <b/>
        <sz val="8"/>
        <color indexed="10"/>
        <rFont val="Arial"/>
        <family val="2"/>
      </rPr>
      <t>communiquez vos résultats.</t>
    </r>
  </si>
  <si>
    <t>Placer le curseur ici pour voir le commentaire</t>
  </si>
  <si>
    <t>NA</t>
  </si>
  <si>
    <r>
      <t>LIBELLÉS</t>
    </r>
    <r>
      <rPr>
        <sz val="8"/>
        <color theme="0"/>
        <rFont val="Arial"/>
        <family val="2"/>
      </rPr>
      <t xml:space="preserve"> des niveaux de </t>
    </r>
    <r>
      <rPr>
        <b/>
        <sz val="8"/>
        <color theme="0"/>
        <rFont val="Arial"/>
        <family val="2"/>
      </rPr>
      <t>SUIVI</t>
    </r>
    <r>
      <rPr>
        <sz val="8"/>
        <color theme="0"/>
        <rFont val="Arial"/>
        <family val="2"/>
      </rPr>
      <t xml:space="preserve">
des LIGNES DIRECTRICES de la norme </t>
    </r>
  </si>
  <si>
    <t>Niveaux de SUIVI</t>
  </si>
  <si>
    <t>Commentaires :</t>
  </si>
  <si>
    <t>Nom de l'établissement / entreprise / service...</t>
  </si>
  <si>
    <t>Enregistrement qualité :  A4 100% vertical</t>
  </si>
  <si>
    <t>Terminologie</t>
  </si>
  <si>
    <t>Définition</t>
  </si>
  <si>
    <t>TABLEAU DE FORMULES</t>
  </si>
  <si>
    <t>NC</t>
  </si>
  <si>
    <r>
      <rPr>
        <sz val="8"/>
        <color theme="0"/>
        <rFont val="Arial"/>
        <family val="2"/>
      </rPr>
      <t xml:space="preserve">Niveaux de </t>
    </r>
    <r>
      <rPr>
        <b/>
        <sz val="8"/>
        <color theme="0"/>
        <rFont val="Arial"/>
        <family val="2"/>
      </rPr>
      <t>VÉRACITÉ</t>
    </r>
    <r>
      <rPr>
        <sz val="8"/>
        <color theme="0"/>
        <rFont val="Arial"/>
        <family val="2"/>
      </rPr>
      <t xml:space="preserve">quant à la </t>
    </r>
    <r>
      <rPr>
        <b/>
        <sz val="8"/>
        <color theme="0"/>
        <rFont val="Arial"/>
        <family val="2"/>
      </rPr>
      <t>RÉALISATION</t>
    </r>
    <r>
      <rPr>
        <sz val="8"/>
        <color theme="0"/>
        <rFont val="Arial"/>
        <family val="2"/>
      </rPr>
      <t xml:space="preserve"> 
des actions associées aux LIGNES DIRECTRICES</t>
    </r>
    <r>
      <rPr>
        <b/>
        <sz val="8"/>
        <color theme="0"/>
        <rFont val="Arial"/>
        <family val="2"/>
      </rPr>
      <t xml:space="preserve"> </t>
    </r>
    <r>
      <rPr>
        <sz val="8"/>
        <color theme="0"/>
        <rFont val="Arial"/>
        <family val="2"/>
      </rPr>
      <t>de la norme</t>
    </r>
  </si>
  <si>
    <r>
      <rPr>
        <sz val="7.5"/>
        <rFont val="Arial"/>
        <family val="2"/>
      </rPr>
      <t xml:space="preserve">Libellés explicites </t>
    </r>
    <r>
      <rPr>
        <b/>
        <sz val="7.5"/>
        <rFont val="Arial"/>
        <family val="2"/>
      </rPr>
      <t xml:space="preserve">
des niveaux de VÉRACITÉ</t>
    </r>
  </si>
  <si>
    <r>
      <rPr>
        <sz val="7.5"/>
        <rFont val="Arial"/>
        <family val="2"/>
      </rPr>
      <t xml:space="preserve">Choix de 
</t>
    </r>
    <r>
      <rPr>
        <b/>
        <sz val="7.5"/>
        <rFont val="Arial"/>
        <family val="2"/>
      </rPr>
      <t>VÉRACITÉ</t>
    </r>
  </si>
  <si>
    <r>
      <t xml:space="preserve">Taux de 
</t>
    </r>
    <r>
      <rPr>
        <b/>
        <sz val="7.5"/>
        <rFont val="Arial"/>
        <family val="2"/>
      </rPr>
      <t>VÉRACITÉ</t>
    </r>
  </si>
  <si>
    <r>
      <t xml:space="preserve">
</t>
    </r>
    <r>
      <rPr>
        <i/>
        <sz val="10"/>
        <rFont val="Arial"/>
        <family val="2"/>
      </rPr>
      <t xml:space="preserve">Attention : Cet outil a été développé avec le système d'exploitation Windows. Si vous l'utilisez sur Mac ou souhaitez l'imprimer, il se peut que la mise en page soit modifiée.  </t>
    </r>
  </si>
  <si>
    <t>Non - Conforme</t>
  </si>
  <si>
    <t xml:space="preserve">Conforme Partiellement </t>
  </si>
  <si>
    <t>Conforme</t>
  </si>
  <si>
    <t>Optimisé</t>
  </si>
  <si>
    <r>
      <t xml:space="preserve">Niveau 1 : Exigence </t>
    </r>
    <r>
      <rPr>
        <b/>
        <sz val="8"/>
        <color rgb="FFFF0000"/>
        <rFont val="Arial"/>
        <family val="2"/>
      </rPr>
      <t>non couverte</t>
    </r>
    <r>
      <rPr>
        <sz val="8"/>
        <color indexed="56"/>
        <rFont val="Arial"/>
        <family val="2"/>
      </rPr>
      <t xml:space="preserve"> tant sur la partie documentaire que preuves.</t>
    </r>
  </si>
  <si>
    <r>
      <t xml:space="preserve">Niveau 2 : Le processus est décrit mais </t>
    </r>
    <r>
      <rPr>
        <b/>
        <sz val="8"/>
        <color rgb="FFFF0000"/>
        <rFont val="Arial"/>
        <family val="2"/>
      </rPr>
      <t>non appliqué</t>
    </r>
    <r>
      <rPr>
        <sz val="8"/>
        <color indexed="56"/>
        <rFont val="Arial"/>
        <family val="2"/>
      </rPr>
      <t>, le processus est appliqué</t>
    </r>
    <r>
      <rPr>
        <b/>
        <sz val="8"/>
        <color rgb="FFFF0000"/>
        <rFont val="Arial"/>
        <family val="2"/>
      </rPr>
      <t xml:space="preserve"> partiellement</t>
    </r>
    <r>
      <rPr>
        <sz val="8"/>
        <color indexed="56"/>
        <rFont val="Arial"/>
        <family val="2"/>
      </rPr>
      <t xml:space="preserve">, le processus </t>
    </r>
    <r>
      <rPr>
        <b/>
        <sz val="8"/>
        <color rgb="FFFF0000"/>
        <rFont val="Arial"/>
        <family val="2"/>
      </rPr>
      <t>n’est pas appliqué</t>
    </r>
    <r>
      <rPr>
        <sz val="8"/>
        <color indexed="56"/>
        <rFont val="Arial"/>
        <family val="2"/>
      </rPr>
      <t xml:space="preserve"> de manière homogène.</t>
    </r>
  </si>
  <si>
    <r>
      <t>Niveau 3 : Exigence</t>
    </r>
    <r>
      <rPr>
        <b/>
        <sz val="8"/>
        <color rgb="FFFF0000"/>
        <rFont val="Arial"/>
        <family val="2"/>
      </rPr>
      <t xml:space="preserve"> couverte</t>
    </r>
    <r>
      <rPr>
        <sz val="8"/>
        <color indexed="56"/>
        <rFont val="Arial"/>
        <family val="2"/>
      </rPr>
      <t xml:space="preserve">, échantillonnage vu </t>
    </r>
    <r>
      <rPr>
        <b/>
        <sz val="8"/>
        <color rgb="FFFF0000"/>
        <rFont val="Arial"/>
        <family val="2"/>
      </rPr>
      <t>conforme</t>
    </r>
    <r>
      <rPr>
        <b/>
        <sz val="8"/>
        <color indexed="10"/>
        <rFont val="Arial"/>
        <family val="2"/>
      </rPr>
      <t>.</t>
    </r>
    <r>
      <rPr>
        <sz val="8"/>
        <color indexed="56"/>
        <rFont val="Arial"/>
        <family val="2"/>
      </rPr>
      <t xml:space="preserve"> </t>
    </r>
  </si>
  <si>
    <r>
      <t xml:space="preserve">Niveau 4 : Processus ayant déjà fait </t>
    </r>
    <r>
      <rPr>
        <b/>
        <sz val="8"/>
        <color rgb="FFFF0000"/>
        <rFont val="Arial"/>
        <family val="2"/>
      </rPr>
      <t>une boucle PDCA</t>
    </r>
    <r>
      <rPr>
        <sz val="8"/>
        <color indexed="56"/>
        <rFont val="Arial"/>
        <family val="2"/>
      </rPr>
      <t xml:space="preserve"> et ayant été </t>
    </r>
    <r>
      <rPr>
        <b/>
        <sz val="8"/>
        <color rgb="FFFF0000"/>
        <rFont val="Arial"/>
        <family val="2"/>
      </rPr>
      <t>amélioré</t>
    </r>
    <r>
      <rPr>
        <sz val="8"/>
        <color indexed="56"/>
        <rFont val="Arial"/>
        <family val="2"/>
      </rPr>
      <t>, processus porté par un SI adapté aux besoins opérationnels et de reportings.</t>
    </r>
  </si>
  <si>
    <t>Ch.</t>
  </si>
  <si>
    <t>Exigences de la norme</t>
  </si>
  <si>
    <t xml:space="preserve"> Responsable du SMQ: </t>
  </si>
  <si>
    <t xml:space="preserve"> Contact du Responsable du SMQ:</t>
  </si>
  <si>
    <t>Reconnaissances ou certifications déjà obtenues :</t>
  </si>
  <si>
    <t>Néant ?</t>
  </si>
  <si>
    <t>Contexte de l'organisme</t>
  </si>
  <si>
    <t>4.1</t>
  </si>
  <si>
    <t>Liste des Preuves</t>
  </si>
  <si>
    <t>Commentaires</t>
  </si>
  <si>
    <t>Oui</t>
  </si>
  <si>
    <t>Non</t>
  </si>
  <si>
    <t>La preuve doit être documentée ?</t>
  </si>
  <si>
    <t>Compréhension de l’organisme et de son contexte</t>
  </si>
  <si>
    <t>- Manuel SMI avec une révision annuelle
- Pilotage SMI
- RDD</t>
  </si>
  <si>
    <t>Compréhension des besoins et des attentes des parties intéressées</t>
  </si>
  <si>
    <t>4.2</t>
  </si>
  <si>
    <t>4.3</t>
  </si>
  <si>
    <t>Détermination du domaine d’application du système de management de la qualité</t>
  </si>
  <si>
    <t>4.4</t>
  </si>
  <si>
    <t>Système de management de la qualité et ses processus</t>
  </si>
  <si>
    <t>Pièce Contrefaite</t>
  </si>
  <si>
    <t>Éléments critiques</t>
  </si>
  <si>
    <t>Caractéristique clé</t>
  </si>
  <si>
    <t>Sécurité du produit</t>
  </si>
  <si>
    <t>Exigences spéciales</t>
  </si>
  <si>
    <t>Une copie non autorisée, une imitation, une pièce de substitution, ou une pièce modifiée (par exemple, matière, pièce, composant), sciemment présentée comme étant une pièce spécifiée d'origine provenant d'un fabricant concepteur ou autorisé.</t>
  </si>
  <si>
    <t>Tous les éléments (par exemple, fonctions, pièces, logiciels, caractéristiques, procédés) ayant un effet significatif sur la fourniture et l'utilisation du produit ou du service, y compris la sécurité, la performance, l'encombrement, l’interchangeabilité, la fonction, la productibilité, la durée de vie en service, etc. ; qui exigent des actions spécifiques afin d’assurer qu'ils sont gérés de manière adéquate.
Les éléments critiques incluent, par exemple, les éléments critiques vis-à-vis de la sécurité, de la tenue à la rupture, de la réalisation de la mission, les caractéristiques clés, etc.</t>
  </si>
  <si>
    <t>Exemple</t>
  </si>
  <si>
    <t>Un attribut ou une caractéristique dont la variation a un effet significatif sur l’interchangeabilité, l'encombrement, la fonction, la performance, la durée de vie en service, ou la productibilité du produit, ce qui exige des actions spécifiques pour maîtriser cette variation.</t>
  </si>
  <si>
    <t>L'état dans lequel un produit est apte à fonctionner selon les paramètres définis ou l'usage prévu sans présenter de risque inacceptable de dommage pour les personnes ou pour les biens.</t>
  </si>
  <si>
    <t>Toutes les exigences identifiées par le client, ou déterminées par l'organisme, qui présentent des risques élevés de ne pas être respectées, lesquelles nécessitent d’être incluses dans le processus de gestion des risques liés aux activités opérationnelles. Les facteurs utilisés pour la détermination des exigences spéciales incluent la complexité du produit ou des procédés, l'expérience passée ou la maturité du produit ou des procédés. Les exigences spéciales incluent, par exemple, des exigences de performance imposées par le client qui sont à la limite des possibilités de l'industrie, ou des exigences déterminées par l'organisme comme étant à la limite de ses capacités techniques ou de celles de ses procédés.</t>
  </si>
  <si>
    <t xml:space="preserve">Une caractéristique clé est une caractéristique qui varie pour laquelle tu vas mettre en place des moyens de surveillance ou de contrôle. </t>
  </si>
  <si>
    <t>Exemple non exhaustif de pièce contrefaite : fausse identification de marquage ou d'étiquetage, classe inexacte, faux numéro de série, faux date-code, documentation ou caractéristiques de performance falsifiées</t>
  </si>
  <si>
    <t>Leadership</t>
  </si>
  <si>
    <t>5.1</t>
  </si>
  <si>
    <t>Leadership et Engagement</t>
  </si>
  <si>
    <t>Politique</t>
  </si>
  <si>
    <t>5.2</t>
  </si>
  <si>
    <t>5.3</t>
  </si>
  <si>
    <t>Rôles, responsabilités et autorités au sein de l'organisme</t>
  </si>
  <si>
    <t>Planification</t>
  </si>
  <si>
    <t>6.1</t>
  </si>
  <si>
    <t>6.2</t>
  </si>
  <si>
    <t>6.3</t>
  </si>
  <si>
    <t>Objectifs qualité et planification des actions pour les atteindre</t>
  </si>
  <si>
    <t>Planification des modifications</t>
  </si>
  <si>
    <t>Support</t>
  </si>
  <si>
    <t>Ressources</t>
  </si>
  <si>
    <t>7.1</t>
  </si>
  <si>
    <t>7.2</t>
  </si>
  <si>
    <t>7.3</t>
  </si>
  <si>
    <t>Sensibilisation</t>
  </si>
  <si>
    <t>Communication</t>
  </si>
  <si>
    <t>7.5</t>
  </si>
  <si>
    <t>7.4</t>
  </si>
  <si>
    <t>Compétences</t>
  </si>
  <si>
    <t>Actions à mettre en œuvre face aux risques et opportunités</t>
  </si>
  <si>
    <t>% Véracité du choix</t>
  </si>
  <si>
    <t>Informations documentées</t>
  </si>
  <si>
    <t>Réalisation des activités opérationnelles</t>
  </si>
  <si>
    <t>8.1</t>
  </si>
  <si>
    <t>Planification et maîtrise opérationnelles</t>
  </si>
  <si>
    <t>8.2</t>
  </si>
  <si>
    <t>Exigences relatives aux produits et services</t>
  </si>
  <si>
    <t>8.3</t>
  </si>
  <si>
    <t>Conception et développement de produits et services</t>
  </si>
  <si>
    <t>8.4</t>
  </si>
  <si>
    <t>8.5</t>
  </si>
  <si>
    <t>8.6</t>
  </si>
  <si>
    <t>Maîtrise des processus, produits et services fournis par des prestataires externes</t>
  </si>
  <si>
    <t>Production et prestation de service</t>
  </si>
  <si>
    <t>Libération des produits et services</t>
  </si>
  <si>
    <t>8.7</t>
  </si>
  <si>
    <t>Maîtrise des éléments de sortie non conformes</t>
  </si>
  <si>
    <t>9.1</t>
  </si>
  <si>
    <t>9.2</t>
  </si>
  <si>
    <t>9.3</t>
  </si>
  <si>
    <t>10.1</t>
  </si>
  <si>
    <t>10.2</t>
  </si>
  <si>
    <t>10.3</t>
  </si>
  <si>
    <t>Évaluation des performances</t>
  </si>
  <si>
    <t>Surveillance, mesure, analyse et évaluation</t>
  </si>
  <si>
    <t>Audit interne</t>
  </si>
  <si>
    <t>Revue de direction</t>
  </si>
  <si>
    <t>Amélioration</t>
  </si>
  <si>
    <t>Généralités</t>
  </si>
  <si>
    <t>Non-conformité et action corrective</t>
  </si>
  <si>
    <t>Amélioration continue</t>
  </si>
  <si>
    <t>1. Informations entreprise</t>
  </si>
  <si>
    <t>Administratives</t>
  </si>
  <si>
    <t>Raison sociale</t>
  </si>
  <si>
    <t>Adresse siège</t>
  </si>
  <si>
    <t>Effectif total</t>
  </si>
  <si>
    <t>Téléphone</t>
  </si>
  <si>
    <t>Adresse e-mail</t>
  </si>
  <si>
    <t>Exemple de preuves attendues</t>
  </si>
  <si>
    <t>Processus</t>
  </si>
  <si>
    <t>Gestion des risques</t>
  </si>
  <si>
    <t>Management du SMQ</t>
  </si>
  <si>
    <t>Assistance Technique</t>
  </si>
  <si>
    <t>Achat</t>
  </si>
  <si>
    <t>Formation</t>
  </si>
  <si>
    <t>Gestion RH managers</t>
  </si>
  <si>
    <t>Gestion RH ingénieurs</t>
  </si>
  <si>
    <t>Administration du personnel</t>
  </si>
  <si>
    <t>Administratifs et financiers</t>
  </si>
  <si>
    <t>Consultant</t>
  </si>
  <si>
    <t>Processus existant ?</t>
  </si>
  <si>
    <t>Merci de cocher vos processus existants</t>
  </si>
  <si>
    <t>Plan d'actions</t>
  </si>
  <si>
    <t>Manuel SMI</t>
  </si>
  <si>
    <t>Le domaine d'application est-il documenté ? Est-il disponible et mis à jour ?</t>
  </si>
  <si>
    <t>Comment identifiez-vous les processus nécessaires au système de management de la qualité ?</t>
  </si>
  <si>
    <t>Comment améliorez-vous les processus et le système de management de la qualité ?</t>
  </si>
  <si>
    <t>Comment établissez-vous les informations documentaires? Sont-elles tenus à jour régulièrement ?</t>
  </si>
  <si>
    <t xml:space="preserve">Définir les enjeux internes et externes et le niveau d'impact associé (Mettre en lien avec les parties intéressées et en ressortir les risques / menaces et opportunités)
Faire une analyse SWOT
</t>
  </si>
  <si>
    <t>- Identifier les informations documentaires nécessaires au fonctionnement des processus
- Tenir à jour régulièrement les informations documentées et les conserver comme une preuve de mise en œuvre des processus</t>
  </si>
  <si>
    <t>- Cartographie des processus
- Manuel SMI
- Pilotage SMI
- Fiche Processus</t>
  </si>
  <si>
    <t>Comment communiquez-vous l'importance de satisfaire les exigences liées au SMQ?</t>
  </si>
  <si>
    <t>- Fournir un extrait de la Politique qui traite des tiers, des administrateurs, des utilisateurs, des prestataires, …
- Politique 
- Engagement de la Direction
- Manuel SMI 
- Objectifs et résultats des processus 
- SWOT des processus
- Risques opérationnels
- Risques entreprise
- Revues de Processus et Revue de Direction comprenant l'adéquation des ressources aux besoins
- Tableau de bord qualité</t>
  </si>
  <si>
    <t>S'assurer qu'il existe un document qui décrit l'engagement et le leadership de la direction
- Le faire signer par tous les directeurs</t>
  </si>
  <si>
    <t>- Définir l'engagement de la direction, le formaliser et le communiquer
- Définir un engagement de la direction qui s'appuie sur une politique affirmée et déterminer des objectifs en les déployant à chaque niveau approprié
- Prendre en compte l'analyse des risques
- Définir une politique, la formalisée, la déclinée en objectifs et revue de façon périodique
- Prendre en compte les besoins des parties intéressées et les objectifs qui sont orientées vers la recherche de l'efficience dans l'engagement de la direction
- Prendre en compte la vision de l'avenir de l'entreprise au niveau de sa politique</t>
  </si>
  <si>
    <t>Avez-vous une politique qualité ? Si oui, quelle est-elle?</t>
  </si>
  <si>
    <t>- Politique
- Engagement de la direction
- Manuel qualité contenant la politique</t>
  </si>
  <si>
    <t>- Déployer la politique qualité à tous les parties intéressées pertinentes et s'assurer de sa compréhension</t>
  </si>
  <si>
    <t xml:space="preserve">Comment établissez-vous la politique qualité ? Comment vous la mettez à jour ? </t>
  </si>
  <si>
    <t>- Définir une politique stratégique avec des objectifs associés (dont la satisfaction des exigences des clients internes et externes)
- Inclure l'engagement de l'amélioration continue</t>
  </si>
  <si>
    <t>Parties Intéressées Pertinentes</t>
  </si>
  <si>
    <t>- Matrice des responsabilités
- Pilotes de processus
- Responsable DQP, correspondant qualité BU
- BM
- DDCC</t>
  </si>
  <si>
    <t xml:space="preserve">- Réponse à Appel d'offre 
- Proposition Technique et Commerciale 
- Réunion technique avec le client 
- Plan de Management Projet 
- COPIL 
- Matrice de conformité Clients </t>
  </si>
  <si>
    <t>Comment assurez-vous la conformité du produit ou du service et la performance des livraisons? Si les résultats attendus ne sont pas atteints, comment réagissez-vous?</t>
  </si>
  <si>
    <t>- Plan de progrès</t>
  </si>
  <si>
    <t>Qu'est ce qu'elle comprennent vos processus ? Les processus sont-ils en interaction ?</t>
  </si>
  <si>
    <t>- Liste de documents contenant la liste des documents SMI
- Réseaux métiers et sites SharePoint avec conservation des enregistrements
- FIP et Procédures définissant les délais de conservation et d'archivage
- Performance dans revues de processus et application conforme des processus via enregistrements</t>
  </si>
  <si>
    <t xml:space="preserve">Comment identifiez-vous les informations documentées nécessaire pour le fonctionnement des processus ? Comment vous les tenez à jour ? </t>
  </si>
  <si>
    <t xml:space="preserve">Comment la direction gère-t-elle les exigences du client ainsi que les exigences légales et réglementaires ? </t>
  </si>
  <si>
    <t>Vérifiez-vous que la politique est mise à disposition des parties intéressées pertinentes?</t>
  </si>
  <si>
    <t xml:space="preserve">Comment assurez-vous de la conformité et de la performance des processus et du SMQ ? </t>
  </si>
  <si>
    <t>- Responsable Qualité nommé
- Correspondant qualité BU</t>
  </si>
  <si>
    <t xml:space="preserve">- Nommer un membre dédié de l'encadrement de l’organisme, désigné représentant de la direction, ayant la responsabilité et l'autorité de la surveillance des exigences suivants:
</t>
  </si>
  <si>
    <t>Projets à engagement de résultat</t>
  </si>
  <si>
    <t>Gestion RH fonctions support</t>
  </si>
  <si>
    <t>Pilotage / Contrôle de gestion</t>
  </si>
  <si>
    <t>Moyens Généraux</t>
  </si>
  <si>
    <t>DSI / GALI</t>
  </si>
  <si>
    <t>Comment vous assurez-vous de la satisfaction de vos PI ?</t>
  </si>
  <si>
    <t>Comment déterminez-vous les attentes de ces parties intéressées ?</t>
  </si>
  <si>
    <t>Quel est le domaine d'application de votre système de management ?</t>
  </si>
  <si>
    <t>Niveau moyen sur l'ensemble des exigences</t>
  </si>
  <si>
    <t>Total des exigences</t>
  </si>
  <si>
    <t xml:space="preserve"> Taux de VÉRACITÉ aux exigences</t>
  </si>
  <si>
    <t>Niveau non applicable</t>
  </si>
  <si>
    <t>Non applicable</t>
  </si>
  <si>
    <t xml:space="preserve">Attention : Le calcul de taux (%) ne prend pas en compte les questions où vous avez répondu "Non applicable". </t>
  </si>
  <si>
    <t>Garantissez-vous que la politique est communiqué, comprise et applicable au sein de l'organisme ? Si oui, comment vous le faites ?</t>
  </si>
  <si>
    <t>Existe-t-il un document qui décrit le leadership et l'engagement  vis-à-vis du SMQ?</t>
  </si>
  <si>
    <r>
      <t xml:space="preserve">Comment définissez-vous la politique et les objectifs qualités ? 
</t>
    </r>
    <r>
      <rPr>
        <i/>
        <sz val="7"/>
        <rFont val="Arial"/>
        <family val="2"/>
      </rPr>
      <t>Sont-ils compatibles avec le contexte et l'orientation stratégique de l'organisme ?</t>
    </r>
  </si>
  <si>
    <t>PRÉSENTATION</t>
  </si>
  <si>
    <t>Effectif du service Qualité</t>
  </si>
  <si>
    <t>Service en charge de la certification</t>
  </si>
  <si>
    <t>Nom Prénom responsable service Qualité</t>
  </si>
  <si>
    <r>
      <rPr>
        <b/>
        <sz val="7"/>
        <rFont val="Arial"/>
        <family val="2"/>
      </rPr>
      <t>L'équipe</t>
    </r>
    <r>
      <rPr>
        <sz val="7"/>
        <rFont val="Arial"/>
        <family val="2"/>
      </rPr>
      <t xml:space="preserve"> du projet de certification:</t>
    </r>
  </si>
  <si>
    <t xml:space="preserve">Exigences </t>
  </si>
  <si>
    <t>Norme</t>
  </si>
  <si>
    <t>EN 9100</t>
  </si>
  <si>
    <t>ISO 9001 
&amp;
EN 9100</t>
  </si>
  <si>
    <t xml:space="preserve">Comment assurez-vous de la disponibilité des ressources nécessaires au SMQ ? </t>
  </si>
  <si>
    <t>Comment contribue L'engagement de la direction à l'efficacité et l'amélioration du SMQ ?</t>
  </si>
  <si>
    <t>Applicabilité</t>
  </si>
  <si>
    <t>Constat d'audit</t>
  </si>
  <si>
    <t>L'Evaluation</t>
  </si>
  <si>
    <t xml:space="preserve">Les Fonctions Audités </t>
  </si>
  <si>
    <t>Directeur</t>
  </si>
  <si>
    <t>Manager</t>
  </si>
  <si>
    <t>Achats</t>
  </si>
  <si>
    <t>GRI</t>
  </si>
  <si>
    <t>Resp, Qualité</t>
  </si>
  <si>
    <t>PAT</t>
  </si>
  <si>
    <t>Resp, Projet</t>
  </si>
  <si>
    <t>MGX</t>
  </si>
  <si>
    <t>RHI-I</t>
  </si>
  <si>
    <t>RHI-C</t>
  </si>
  <si>
    <t>ADP</t>
  </si>
  <si>
    <t>RH Fonctions Support</t>
  </si>
  <si>
    <t>AFI</t>
  </si>
  <si>
    <t>L'Attendu</t>
  </si>
  <si>
    <t>Responsable de l'action</t>
  </si>
  <si>
    <t>Délai</t>
  </si>
  <si>
    <t xml:space="preserve">Avancement </t>
  </si>
  <si>
    <t>Le Plan d'Action</t>
  </si>
  <si>
    <t>- Revue de processus avec SWOT &amp; actions issues des analyses des indicateurs, audits internes, boite à idées et MyAlert
- Risques entreprise dans Pilotage SMI
- Plans de Progrès dont intégration des risques processus et SSI</t>
  </si>
  <si>
    <t xml:space="preserve">- Risques entreprise dans Pilotage SMI
- Revue de processus avec SWOT
- Plans de Progrès avec risques, opportunités et mesure d'efficacité
- Analyses de risques </t>
  </si>
  <si>
    <t>Comment communiquez-vous les objectifs qualités ?</t>
  </si>
  <si>
    <t>- Objectifs des FIP
- Tableaux de bord Qualité à la strate nationale et à la strate BU
- Tableau de bord métiers des BU / cohérence des indicateurs des FIP
- Tableaux de bord ACQP</t>
  </si>
  <si>
    <t>- Objectifs des FIP
- Revue de processus
- Tableaux de bord avec suivis des indicateurs</t>
  </si>
  <si>
    <t>- Planifier les objectifs qualité, sécurité, santé et environnement dans le cadre d'un système de management intégré
- Planifier les objectifs qualité et les intégrer dans la stratégie de l'entreprise</t>
  </si>
  <si>
    <t>- Revues de processus
- Revues de direction
- Plans de progrès
- Fiche de projet
- Roadmap / planification / plan d'actions projet d'entreprise
- Processus SMI</t>
  </si>
  <si>
    <t xml:space="preserve"> - Créer une fiche projet avec risques et opportunités sur l'évolution des normes ISO 9001, ISO 14001 version 2015 et EN 9100 version 2016 
- S'assurer que l'intégrité du SMQ est maintenue 
- Intégrer la planification des modifications du SMQSSE dans la stratégie de l'entreprise
- Récupérer la liste des projets SI dimensionnant
- S'assurer que pour les gros projets de l'entreprise il y a cette planification , une analyse des risques et des conséquences potentielles, plan de transition / fiche cadrage 
- Ajouter une colonne "Impact système" dans le plan de progrès pour pouvoir indiquer les modifications qu'il faut faire sur le système </t>
  </si>
  <si>
    <t>Comment assurez-vous les ressources nécessaires à la mise en œuvre du SMQ ?</t>
  </si>
  <si>
    <t>Quelles sont vos ressources humaines nécessaire à l'efficacité du SMQ ?</t>
  </si>
  <si>
    <t>- Description des ressources (humaines, matérielles, bâtiments, logiciels, …) nécessaires dans chaque procédures et dans chaque service de l'entreprise
- Ressources mises en place au siège et dans les BU
- Recours aux ingénieurs en inter-contrat si nécessaire
- Recours à de la sous-traitance sur AT &amp; PS si nécessaire</t>
  </si>
  <si>
    <t xml:space="preserve"> - Matrice des responsabilité
- Descriptions de fonctions
- Organisation des BU
- SWOT avec risques RH et évaluation de l'adéquation des ressources</t>
  </si>
  <si>
    <r>
      <t xml:space="preserve">Comment fournissez-vous les infrastructures nécessaires à l'obtention de la conformité du produit ? 
</t>
    </r>
    <r>
      <rPr>
        <i/>
        <sz val="7"/>
        <rFont val="Arial"/>
        <family val="2"/>
      </rPr>
      <t>Avez-vous entretenu ces infrastructures ?</t>
    </r>
  </si>
  <si>
    <t>Description précise de l'action</t>
  </si>
  <si>
    <t>- Cartographie des processus
- Des fiches processus avec entrées, sorties, les indicateurs, les acteurs et ressources utiles et les interactions processus
- Manuel SMI
- Revues de Processus pilote comprenant les risques et opportunités (SWOT), l'évaluation de maturités et des actions de modifications documentaires
- Point semestriel pour le suivi de l'avancement des actions</t>
  </si>
  <si>
    <t>Comment gérez-vous les modifications du SMQ ?</t>
  </si>
  <si>
    <t xml:space="preserve">Prenez vous en compte la conformité des produits et services à la mise en œuvre des actions face aux risques et opportunités ? </t>
  </si>
  <si>
    <r>
      <t xml:space="preserve">Comment maintenez-vous un environnement approprié à l'obtention de la conformité des produits et services ?
</t>
    </r>
    <r>
      <rPr>
        <i/>
        <sz val="7"/>
        <rFont val="Arial"/>
        <family val="2"/>
      </rPr>
      <t xml:space="preserve">Assurez-vous un environnement de travail sain au niveau social, psychologique et physique ? </t>
    </r>
  </si>
  <si>
    <r>
      <t xml:space="preserve"> </t>
    </r>
    <r>
      <rPr>
        <b/>
        <u/>
        <sz val="7"/>
        <rFont val="Arial"/>
        <family val="2"/>
      </rPr>
      <t xml:space="preserve">FIP: </t>
    </r>
    <r>
      <rPr>
        <sz val="7"/>
        <rFont val="Arial"/>
        <family val="2"/>
      </rPr>
      <t xml:space="preserve">
- Définir de manière pertinente les données d'entrée et de sortie de chaque processus
- Définir de manière pertinente les interactions entres les différents processus 
- Définir les ressources, les méthodes et les critères nécessaires pour le fonctionnement et la performance de chaque processus
- Attribuer les rôles et les responsabilités 
- Faire une analyse des risques et des opportunités
- Evaluer, améliorer et mettre à jour régulièrement les processus et le SMI</t>
    </r>
  </si>
  <si>
    <t>- Prendre en compte l'identification et la mise à disposition des ressources lors des revues de processus et de direction avec une approche d'anticipation des besoins et d'efficience
- Intégrer l'identification et la mise à disposition des ressources à la politique et la stratégie de l'entreprise</t>
  </si>
  <si>
    <t>- Recenser les fonctions et les descriptions de fonction associées</t>
  </si>
  <si>
    <t>Comment maintenez-vous les compétences ?</t>
  </si>
  <si>
    <t xml:space="preserve">Informations Documentées </t>
  </si>
  <si>
    <r>
      <t xml:space="preserve">Quelles sont les éléments qui caractérisent vos informations documentées ? 
</t>
    </r>
    <r>
      <rPr>
        <i/>
        <sz val="7"/>
        <rFont val="Arial"/>
        <family val="2"/>
      </rPr>
      <t>Comment savez-vous la dernière version de votre enregistrement ou document?</t>
    </r>
  </si>
  <si>
    <t>Plan de communication 
- Présentation DQP aux nouveaux arrivants
- Communications des projets d'entreprise
- Communications internes, clients</t>
  </si>
  <si>
    <t>- Engagement de la Direction
- Politique 
- Intégration DQP</t>
  </si>
  <si>
    <t>- Communications pilotes/ACQP
- Sharepoint Métier</t>
  </si>
  <si>
    <t>- Dossier Technique consultant, MUSE, Matrice de compétences projets, PTC pour les AT
- Fonctions supports : Descriptions de Fonctions
- Business Managers : Amplify 
- Evaluation à froid et à chaud de la Formation
- Bilan ou Entretien Annuel
- RACI de la documentation SMI
- Formation (ATC), attestation de formation, titre d'habilitation</t>
  </si>
  <si>
    <t xml:space="preserve">- Système d'Information Groupe 
- Système d'Information Production 
- Maintenance des équipements (Matériels, logiciels, ordinateurs…) (GALI / DSI)
- Les déclarations des incidents et les demande de services (MySupport) </t>
  </si>
  <si>
    <t xml:space="preserve">- Gestion des locaux (MGX)
- Consigne sécurité
</t>
  </si>
  <si>
    <r>
      <t xml:space="preserve">Comment identifiez-vous les connaissances nécessaire pour l'obtention de la conformité ?
</t>
    </r>
    <r>
      <rPr>
        <i/>
        <sz val="7"/>
        <rFont val="Arial"/>
        <family val="2"/>
      </rPr>
      <t>Quelles sont vos REX utilisés pour atteindre les objectifs de l'organisme ?</t>
    </r>
  </si>
  <si>
    <t>Comment sensibilisez-vous vos collaborateurs à la sécurité des produits ?</t>
  </si>
  <si>
    <r>
      <t xml:space="preserve">Comment maîtrisez-vous votre base documentaire ? 
</t>
    </r>
    <r>
      <rPr>
        <i/>
        <sz val="7"/>
        <rFont val="Arial"/>
        <family val="2"/>
      </rPr>
      <t>Existe-t-il un document assurant la disponibilité, la protection, la conservation et l'élimination des informations documentées ? 
Avez-vous une méthodologie permettant le contrôle de version de chaque modification ?</t>
    </r>
  </si>
  <si>
    <t>- Gérer et vérifier tout instrument de mesure 
- Conserver les document démontrant l'adéquation des ressources pour la surveillance et la mesure 
- Protéger l'équipement de mesure contre les dommage qui peuvent détériorer les résultats de mesure</t>
  </si>
  <si>
    <t>Informations sur le système de management</t>
  </si>
  <si>
    <t>Certification</t>
  </si>
  <si>
    <t>Existance d'un référentiel qualité</t>
  </si>
  <si>
    <t>OUI</t>
  </si>
  <si>
    <t>Commentaire</t>
  </si>
  <si>
    <t>Documents fournis</t>
  </si>
  <si>
    <t>Tableau de SYNTHÈSE des résultats par chapitre</t>
  </si>
  <si>
    <t>- Inclure la contribution à la conformité et à la sécurité du produit dans l'engagement de la direction
- Ajouter un lien de la politique et engagement de la direction dans le mail d'accueil pour les CORP et le PROD</t>
  </si>
  <si>
    <t>- Créer ou mettre à jour un plan de communication en intégrant des sensibilisations du personnel 
- Faire des sensibilisations aux BM, FS, DD sur la DQP et les objectifs du service -&gt; Déploiement du support.
- Définir les flux de communication de l'entreprise : Nat et BU.</t>
  </si>
  <si>
    <t>- Suivi et Gestion des évolutions des enregistrements: 
- Modalités de gestion:  ajouter un paragraphe pour la gestion des enregistrements version papier</t>
  </si>
  <si>
    <t>- Matrice de Conformité
- Suivi de mission avec acceptation des livrables par le client
- APMS  ou fichier de suivi
- Plan de Management Projet
- Proposition Technique et Commerciale</t>
  </si>
  <si>
    <t>Document basé sur la norme EN9100</t>
  </si>
  <si>
    <t>=Exigences!U6</t>
  </si>
  <si>
    <t>- Suivi de Mission
- Réunion technique
- COPIL
- Plan de Management Projet 
- Proposition Technique et Commerciale avec un paragraphe sur les échanges avec le client et la gestion de la propriété client (Dans CGA)</t>
  </si>
  <si>
    <r>
      <t xml:space="preserve">Comment sont les échanges avec vos clients ? 
</t>
    </r>
    <r>
      <rPr>
        <i/>
        <sz val="7"/>
        <rFont val="Arial"/>
        <family val="2"/>
      </rPr>
      <t xml:space="preserve">Maîtrisez-vous la propriété de vos clients ? </t>
    </r>
  </si>
  <si>
    <t>- Revue d'offre
- Contrat cadre / Contrat d'application 
- Proposition Technique et Commerciale
- Matrice de conformité Projet
- Matrice de conformité Exigences client
- Veille juridique</t>
  </si>
  <si>
    <t>- Spécifications clients
- Exigences propres au produit
- Gestion des Risques</t>
  </si>
  <si>
    <r>
      <t xml:space="preserve">Comment réalisez-vous les revues des exigences relatives aux produits et services ?
</t>
    </r>
    <r>
      <rPr>
        <i/>
        <sz val="7"/>
        <rFont val="Arial"/>
        <family val="2"/>
      </rPr>
      <t>Avez-vous un document prouvant la satisfaction des exigences clients ?</t>
    </r>
  </si>
  <si>
    <t>En cas de modification des exigences, comment assurez-vous la mise à jour des documents et la communication au personnel concerné?</t>
  </si>
  <si>
    <t>- Revue d'offre / Revue de contrat
- Plan de Management Projet
- Proposition Technique et Commerciale
- MCE clients
- COPIL / Revue Technique / Réunion avec le client 
- Mise à jour du contrat d'application 
- Avenant PTC</t>
  </si>
  <si>
    <t>Avez-vous un processus de conception et de développement?</t>
  </si>
  <si>
    <t>En cours</t>
  </si>
  <si>
    <t>- FIP Processus mise en place</t>
  </si>
  <si>
    <t>- Plan de Management de Projet</t>
  </si>
  <si>
    <t>Quels sont les éléments d'entrée de votre processus C&amp;D?</t>
  </si>
  <si>
    <t>- Plan de Management Projet
- Revues de conception</t>
  </si>
  <si>
    <t>- Revues de conception
- Processus de validation des livrables
- Plan de management de projet</t>
  </si>
  <si>
    <t>- Revues de conception
- Procédure d'essai
- Plan d'essai
- Résultats / rapports d'essai</t>
  </si>
  <si>
    <t>Qu'avez-vous identifié comme élément de sortie du processus C&amp;D?</t>
  </si>
  <si>
    <t>- FIP Processus Conception et Développement
- Fichier de suivi
- MCE
- Retour d'expérience pour des projets similaires
- Sharepoints/outils dédiés projets</t>
  </si>
  <si>
    <t>- FIP Processus Conception et Développement
- Enregistrements des livrables de la conception et du développement</t>
  </si>
  <si>
    <t>Sharepoint dédiés</t>
  </si>
  <si>
    <t>Plan de gestion de la configuration</t>
  </si>
  <si>
    <t>Comment classez-vous vos fournisseurs ?</t>
  </si>
  <si>
    <r>
      <t xml:space="preserve">Comment évaluez-vous vos prestataires ? 
</t>
    </r>
    <r>
      <rPr>
        <i/>
        <sz val="7"/>
        <rFont val="Arial"/>
        <family val="2"/>
      </rPr>
      <t>Avez-vous des critères définis pour choisir les fournisseurs à évaluer ?</t>
    </r>
  </si>
  <si>
    <t xml:space="preserve">Comment réalisez-vous le suivi de vos fournisseurs ? </t>
  </si>
  <si>
    <t>- Fiche de sélection
- Evaluation prestation / matériel
- Evaluation annuelle
- Comité fournisseurs annuel
- Conditions générales d'achat
- Plan d'action achats
- Plan de progrès
- Panel fournisseur
- Contrat</t>
  </si>
  <si>
    <t>Lorsqu'un produit acheté est libéré sans avoir eu toutes les vérifications prévues pour utilisation, comment est-il identifié et enregistré afin de permettre son rappel si besoin ?</t>
  </si>
  <si>
    <r>
      <t xml:space="preserve">Quelles sont les informations documentaires présents dans votre SMQ ?
</t>
    </r>
    <r>
      <rPr>
        <i/>
        <sz val="7"/>
        <rFont val="Arial"/>
        <family val="2"/>
      </rPr>
      <t xml:space="preserve">Quelles sont les documents obligatoires pour la réalisation de vos activités ? </t>
    </r>
  </si>
  <si>
    <t xml:space="preserve">- Les processus documentés
- Enjeux externes et internes 
- Besoins et attentes des parties prenantes 
- Domaine d'application 
- Cartographie des processus 
- Mise en œuvre et performance processus 
- Politique qualité 
- Définitions de fonction 
- Analyse de risques 
- Objectifs qualité 
- Documents relatifs aux connaissances organisationnelles 
- Preuves de compétences 
- Conformité produit / service 
- Revue des exigences / Revue d'offre / Revue de contrat 
- Modification des exigences 
- Conformité aux exigences 
- Eléments d'entrée de la conception et du développement 
- Résultats et activités de vérification 
- Eléments de sortie de la conception et du développement 
- Modifications de la conception et du développement 
- Activités et actions des évaluations des prestataires externes
- Caractéristiques des prestations à fournir, résultats à obtenir
- Traçabilité des produits et services 
- Situation de la propriété d'un client 
- Modifications services
- Libération produit / service 
- Traitement des non conformités + information client 
- Satisfaction client 
- Efficacité actions suite à risque ou opportunité 
- Efficacité de la planification 
- Programme d'audit et résultats des audits 
- Eléments de sortie de la revue de direction 
- Les Non-Conformités et l'Amélioration continue </t>
  </si>
  <si>
    <t xml:space="preserve">- Visibilité des documents pour chaque processus selon le profil </t>
  </si>
  <si>
    <r>
      <t xml:space="preserve">Comment sélectionnez-vous vos différents prestataires externes (fournisseurs) ? 
</t>
    </r>
    <r>
      <rPr>
        <i/>
        <sz val="7"/>
        <rFont val="Arial"/>
        <family val="2"/>
      </rPr>
      <t>Comment sélectionnez-vous vos fournisseurs pour les commandes ?</t>
    </r>
  </si>
  <si>
    <r>
      <t xml:space="preserve">Comment gérez-vous les non-conformité de vos prestataires ? 
</t>
    </r>
    <r>
      <rPr>
        <i/>
        <sz val="7"/>
        <rFont val="Arial"/>
        <family val="2"/>
      </rPr>
      <t>Comment gérez un déréférencement fournisseurs ?</t>
    </r>
  </si>
  <si>
    <r>
      <t xml:space="preserve">Comment assurez-vous de la conformité du produit acheté par rapport aux exigences définies par vos clients ?
</t>
    </r>
    <r>
      <rPr>
        <i/>
        <sz val="7"/>
        <rFont val="Arial"/>
        <family val="2"/>
      </rPr>
      <t>Quels sont les contrôles effectuées lors de la réception ?</t>
    </r>
  </si>
  <si>
    <t xml:space="preserve">Quelles informations communiquez-vous à vos prestataires ? </t>
  </si>
  <si>
    <t xml:space="preserve">Cahier de charge d'achat
Documents transmis aux prestataires
Appel d'offres
Cahier des charges
Contrat fournisseur
Plan de Management Projet
Preuves de contrôles effectués
Preuves conformité de la prestation livrée </t>
  </si>
  <si>
    <t xml:space="preserve">Fiche de sélection
Appel d'offres
Cahier des charges
Suivi de mission / Avancement des activités / BL
Evaluation prestation / matériel
Contrat fournisseur
Plan de Management Projet 
Résultats des audits fournisseurs </t>
  </si>
  <si>
    <r>
      <t xml:space="preserve">Comment mettez-vous en œuvre la production et la prestation de service dans des conditions maitrisées ?
</t>
    </r>
    <r>
      <rPr>
        <i/>
        <sz val="7"/>
        <rFont val="Arial"/>
        <family val="2"/>
      </rPr>
      <t>Comment définissez-vous votre processus de réalisation ?</t>
    </r>
    <r>
      <rPr>
        <sz val="7"/>
        <rFont val="Arial"/>
        <family val="2"/>
      </rPr>
      <t xml:space="preserve"> </t>
    </r>
  </si>
  <si>
    <r>
      <t xml:space="preserve">Comment réalisez-vous les audits de prestataires ?
</t>
    </r>
    <r>
      <rPr>
        <i/>
        <sz val="7"/>
        <rFont val="Arial"/>
        <family val="2"/>
      </rPr>
      <t xml:space="preserve">A quelle fréquences ? Quel est l'acteur ? </t>
    </r>
  </si>
  <si>
    <r>
      <t xml:space="preserve">Comment maîtrisez-vous la réalisation?
</t>
    </r>
    <r>
      <rPr>
        <i/>
        <sz val="7"/>
        <rFont val="Arial"/>
        <family val="2"/>
      </rPr>
      <t>Identifiez-vous le produit tout au long de sa réalisation? 
Avez-vous identifiez des points à contrôler en cours de production ?</t>
    </r>
  </si>
  <si>
    <t>- Proposition Technique et Commerciale
- Suivi de mission 
- RSI, chef de plateaux
- Prise en compte des REX et de la capitalisation
- Matrice de compétences &amp; plan de formation si nécessaire
- Plan de Management Projet
- Tableau de bord projet &amp; indicateurs
- COPIL 
-Audit projet
- Vérifications et libération de produit tracées</t>
  </si>
  <si>
    <t xml:space="preserve">Comment vérifiez-vous vos procédés de production ? </t>
  </si>
  <si>
    <t>- Plan de Management Projet
- APMS ou fichier suivi
- Revue premier article
- SharePoint</t>
  </si>
  <si>
    <t xml:space="preserve">Comment assurez-vous la traçabilité des livrables ? </t>
  </si>
  <si>
    <t>- Plan de Management projet
- Gestion de configuration
- MCE
- Audit projets</t>
  </si>
  <si>
    <r>
      <t xml:space="preserve">Comment gérez-vous la confidentialité et la propriété des clients et des prestataires ? 
</t>
    </r>
    <r>
      <rPr>
        <i/>
        <sz val="7"/>
        <rFont val="Arial"/>
        <family val="2"/>
      </rPr>
      <t xml:space="preserve">En cas d'endommagement des données personnelles d'un client ou d'un fournisseur, que faites vous ? </t>
    </r>
  </si>
  <si>
    <t>- Plan de Management Projet 
- Proposition Technique et Commerciale
- Réseaux métier / Sharepoint
- Contrat d'achat
- Accord de confidentialité</t>
  </si>
  <si>
    <t>- Plan de Management Projet
- Sécurisation et protection des données</t>
  </si>
  <si>
    <r>
      <t xml:space="preserve">Comment gérez-vous les activités après livraison associées aux produits et services ?
</t>
    </r>
    <r>
      <rPr>
        <i/>
        <sz val="7"/>
        <rFont val="Arial"/>
        <family val="2"/>
      </rPr>
      <t>Comment vous assurez-vous de fournir les informations utiles au support après vente ?</t>
    </r>
  </si>
  <si>
    <r>
      <t xml:space="preserve">En cas de détection des problèmes après livraison, que faites vous ? 
</t>
    </r>
    <r>
      <rPr>
        <i/>
        <sz val="7"/>
        <rFont val="Arial"/>
        <family val="2"/>
      </rPr>
      <t xml:space="preserve">Avez-vous des actions appropriés à mener face à ces problèmes ? </t>
    </r>
  </si>
  <si>
    <t>- Plan de Management Projet</t>
  </si>
  <si>
    <t>- Plan de Management Projet
- Demande de changement
- Sharepoint dédiés</t>
  </si>
  <si>
    <t>Comment définissez-vous les critères d'acceptation du produit ?</t>
  </si>
  <si>
    <t>- Fiche d'approbation
- Traçabilité des vérifications effectuées
- Validation client / suivi de mission</t>
  </si>
  <si>
    <t>Quel retour est fait au client ?</t>
  </si>
  <si>
    <t xml:space="preserve">Comment sont-elles capitalisées ? </t>
  </si>
  <si>
    <t xml:space="preserve">Comment maîtrisez-vous les pièces contrefaites ? </t>
  </si>
  <si>
    <t>- Tableau de bord Qualité et processus
- Indicateurs de suivi et de performance avec indication sur la fréquence de mesure et l'efficacité de l'indicateur dans les revue de processus</t>
  </si>
  <si>
    <t>Comment suivez-vous vos résultats ? A quelle fréquence ? Par qui ?</t>
  </si>
  <si>
    <r>
      <t xml:space="preserve">Comment gérez-vous la préservation des éléments de sortie au cours de la production et la prestation de service ? 
</t>
    </r>
    <r>
      <rPr>
        <i/>
        <sz val="7"/>
        <rFont val="Arial"/>
        <family val="2"/>
      </rPr>
      <t>Avez-vous identifié les condition particulières de stockage des produits sensibles ?</t>
    </r>
  </si>
  <si>
    <t>- Suivi insatisfaction client avec traçabilité dans le plan de progrès
- Evaluation de l'efficacité des actions</t>
  </si>
  <si>
    <t>- Analyse des insatisfactions client, traçabilité dans plan de progrès
- Indicateur processus PAT &amp; PPS : Satisfaction client
- Détermination et suivi des actions via plan de progrès (ou via APMS ou fichier de suivi) mesures d'efficacité renseignées
- Evaluation des fournisseurs et des prestataires / Comité fournisseurs
- Revue de processus
- Revue de Direction</t>
  </si>
  <si>
    <t>- Planning d'audit (système et projets)
- Formation à l'audit interne (système et projets)
- Liste des auditeurs qualifiés (système et projets)
- Rapports d'audit interne (système et projets)
- Suivi des actions
- Mise à jour du SMI et de l'ADF 
- Rapports d'audit internes conservés sur le réseau</t>
  </si>
  <si>
    <t xml:space="preserve">Comment traitez-vous les résultats des audits ? </t>
  </si>
  <si>
    <t xml:space="preserve">- Revue de Direction </t>
  </si>
  <si>
    <t>- Revue de processus
- Revue de direction
- Suivi des actions préventives et correctives dans le plan de progrès
- Indicateurs, fréquence de mesure indiquée dans les FIP</t>
  </si>
  <si>
    <t>- Revue de Direction 
- Revue de processus
- Plan de progrès
- Baromètre candidat + analyse + PA
- Evaluation satisfaction salariés + analyse + PA</t>
  </si>
  <si>
    <t>- Plan de progrès
- Mise à jour des processus        
- Mise en place de 8D
- Suivi des actions dans le plan de progrès</t>
  </si>
  <si>
    <r>
      <t xml:space="preserve">Quels sont vos objectifs annuels? Comment sont définis ?
</t>
    </r>
    <r>
      <rPr>
        <i/>
        <sz val="7"/>
        <rFont val="Arial"/>
        <family val="2"/>
      </rPr>
      <t>Sont-ils en cohérence avec la politique qualité ?</t>
    </r>
  </si>
  <si>
    <t xml:space="preserve">Vos objectifs qualités sont-ils mesurables ? Sont-ils documentés ? </t>
  </si>
  <si>
    <t xml:space="preserve">Comment définissez-vous les rôles et les responsabilités ? Comment faites-vous pour les communiquer ? </t>
  </si>
  <si>
    <r>
      <t xml:space="preserve">Quels sont les risques liés à vos processus et à vos activités?
</t>
    </r>
    <r>
      <rPr>
        <i/>
        <sz val="7"/>
        <rFont val="Arial"/>
        <family val="2"/>
      </rPr>
      <t>Avez-vous mis en place un plan d'action permettant de les accroître et / ou les réduire?</t>
    </r>
  </si>
  <si>
    <t xml:space="preserve">- Plan de progrès, event lists
- Fiche de non conformité
- Dérogation
- Vérification réalisée et tracée suite à NC
</t>
  </si>
  <si>
    <r>
      <t xml:space="preserve">Quelles sont les documents conservées preuve de conformité ?
</t>
    </r>
    <r>
      <rPr>
        <i/>
        <sz val="7"/>
        <rFont val="Arial"/>
        <family val="2"/>
      </rPr>
      <t>Quelles sont les documents que vous jugez nécessaire au fonctionnement de votre système ?
Comment accédez-vous à la documentation utile ?</t>
    </r>
  </si>
  <si>
    <t xml:space="preserve">- Capitalisation
- REX consultants/BM, suivi RI, reporting RSI, suivi mission, clôture mission
- Base de capitalisation
- Pour les BM : Amplifiy, Partage en réunion commerciale,  fiche client CRM
- Mise à jour de la documentation lorsque nécessaire
- Recouvrement de poste 
- Passation de connaissances lors de réunion de service, parcours d'intégration
- Réseaux métiers, SharePoint </t>
  </si>
  <si>
    <t xml:space="preserve">Comment assurez-vous les compétences nécessaires à la réalisation des activités ? </t>
  </si>
  <si>
    <t xml:space="preserve">Comment les informations nécessaires sont-elles transmises aux collaborateurs ? </t>
  </si>
  <si>
    <t xml:space="preserve">Comment étalonnez et vérifiez-vous vos équipements ? 
Avez-vous un registre des équipements précisant les méthodes et la fréquence d'étalonnage ? </t>
  </si>
  <si>
    <t>- Un processus de rappel des équipements nécessitant un étalonnage
- un registre des équipements précisant le type d'équipement, la fréquence, la méthode et les critères d'étalonnage</t>
  </si>
  <si>
    <t xml:space="preserve">Comment effectuez-vous la traçabilité des équipements de mesure ? </t>
  </si>
  <si>
    <t>En cas de gestion électronique des documents, comment protégez-vous vos données ? 
(protection contre les pertes, les modifications non autorisées, les dommages physiques...).</t>
  </si>
  <si>
    <r>
      <t xml:space="preserve">Comment gérez-vous les réclamations relatives aux produits et services ? 
</t>
    </r>
    <r>
      <rPr>
        <i/>
        <sz val="7"/>
        <rFont val="Arial"/>
        <family val="2"/>
      </rPr>
      <t>Comment traitez-vous les insatisfactions ?</t>
    </r>
  </si>
  <si>
    <t>Quelle est la personne responsable de la surveillance des exigences ?</t>
  </si>
  <si>
    <t xml:space="preserve">Existe-t-il un document décrivant la vérification et la validation des essais ?
Avez-vous une procédure d'essai décrivant les méthodes et les modes d'exécution à utiliser ? </t>
  </si>
  <si>
    <t xml:space="preserve">Comment maîtrisez-vous les évolutions de la conception et du développement ? 
Avez-vous un processus de gestion de la configuration ? </t>
  </si>
  <si>
    <t>En cas de modification dans le processus C&amp;D, comment assurez-vous la conformité aux exigences ? 
Avez-vous mis en place un plan d'action pour prévenir les impacts négatifs de ces modifications ?</t>
  </si>
  <si>
    <t xml:space="preserve">Comment maîtrisez-vous les procédés spéciaux ?
Avez-vous définis des critères de revue et d'approbation des procédés ? </t>
  </si>
  <si>
    <t xml:space="preserve">Comment gérez-vous les éléments critiques ? </t>
  </si>
  <si>
    <r>
      <t xml:space="preserve">Comment définissez-vous la gestion des risques liées aux activités opérationnelles ? 
</t>
    </r>
    <r>
      <rPr>
        <i/>
        <sz val="7"/>
        <rFont val="Arial"/>
        <family val="2"/>
      </rPr>
      <t xml:space="preserve">Avez-vous identifié, évalué et communiqué ces risques ? </t>
    </r>
  </si>
  <si>
    <r>
      <t xml:space="preserve">Comment assurez-vous la gestion de la configuration approprié à l'organisme? 
</t>
    </r>
    <r>
      <rPr>
        <i/>
        <sz val="7"/>
        <rFont val="Arial"/>
        <family val="2"/>
      </rPr>
      <t xml:space="preserve">Avez-vous maitrisé l'identité et la traçabilité du produit par rapport aux exigences ? </t>
    </r>
  </si>
  <si>
    <t>Comment assurez-vous la sécurité du produit pendant toute la durée de son cycle de vie ?</t>
  </si>
  <si>
    <t>- Plan de Management projet</t>
  </si>
  <si>
    <t xml:space="preserve">Comment prévenez-vous l'utilisation des pièces contrefaites ? 
</t>
  </si>
  <si>
    <t>- Plan de gestion de la configuration</t>
  </si>
  <si>
    <t>- Plan d'assurance sécurité projet
- Fiche acceptation produit
- Compte rendu des événements affectant la sécurité
- Gestion des éléments critiques de sécurité
- Gestion des risques</t>
  </si>
  <si>
    <t xml:space="preserve">- Document précisant le type de l'équipement, la référence, la méthode ,la validité de l'étalonnage et l'adéquation des ressources pour la surveillance </t>
  </si>
  <si>
    <t xml:space="preserve">Comment déterminez-vous les exigences spéciales des produits et services ? </t>
  </si>
  <si>
    <r>
      <t xml:space="preserve">Comment répartissez-vous les activités de conception et développement ? 
</t>
    </r>
    <r>
      <rPr>
        <i/>
        <sz val="7"/>
        <rFont val="Arial"/>
        <family val="2"/>
      </rPr>
      <t xml:space="preserve">Avez-vous identifié les tâches, les ressources et les responsables nécessaires pour chaque activité ? </t>
    </r>
  </si>
  <si>
    <t>Quels sont les éléments de votre revue de conception ?</t>
  </si>
  <si>
    <t xml:space="preserve">- Planifier une revue de direction en accord avec l'orientation stratégique de l'organisme 2 fois par ans </t>
  </si>
  <si>
    <r>
      <t xml:space="preserve">Comment capitalisez-vous les connaissance dites organisationnelles ? </t>
    </r>
    <r>
      <rPr>
        <i/>
        <sz val="7"/>
        <rFont val="Arial"/>
        <family val="2"/>
      </rPr>
      <t>(hors métier)</t>
    </r>
  </si>
  <si>
    <t>- Analyse des risques projet
- Plan Assurance Sécurité</t>
  </si>
  <si>
    <t>- Preuve précisant la méthodologie de vérification, les essais permettant la détection de pièces contrefaites, la déclaration de ces pièces, la mise en quarantaine, la traçabilité des pièces et composants…</t>
  </si>
  <si>
    <t>- FIP Processus Conception et Développement
- Fichier de suivi
- MCE
- Retour d'expérience pour des projets similaires
- SharePoint/outils dédiés projets</t>
  </si>
  <si>
    <t xml:space="preserve">- Plan de progrès, event list
- Fiche de non conformité
- Dérogation
- Vérification réalisée et tracée suite à NC
</t>
  </si>
  <si>
    <r>
      <t xml:space="preserve">Comment planifiez-vous les actions à mettre en œuvre face à ces risques et opportunités ? 
</t>
    </r>
    <r>
      <rPr>
        <i/>
        <sz val="7"/>
        <rFont val="Arial"/>
        <family val="2"/>
      </rPr>
      <t>Avez-vous intégré l'analyse des risques et opportunités à vos processus ? 
Avez-vous évaluez leur efficacité ?</t>
    </r>
  </si>
  <si>
    <r>
      <t xml:space="preserve">Comment planifiez-vous les objectifs qualités ?
</t>
    </r>
    <r>
      <rPr>
        <i/>
        <sz val="7"/>
        <rFont val="Arial"/>
        <family val="2"/>
      </rPr>
      <t>Avez-vous identifié les responsables, les ressources nécessaires ?</t>
    </r>
  </si>
  <si>
    <r>
      <t xml:space="preserve">Comment gérez-vous les modifications du SMQ?
</t>
    </r>
    <r>
      <rPr>
        <i/>
        <sz val="7"/>
        <rFont val="Arial"/>
        <family val="2"/>
      </rPr>
      <t>Avez-vous planifié les modifications qui doivent être réalisées ?</t>
    </r>
  </si>
  <si>
    <r>
      <t xml:space="preserve">Qu'est ce que vous prenez en compte lors de la modification du système ?
</t>
    </r>
    <r>
      <rPr>
        <i/>
        <sz val="7"/>
        <rFont val="Arial"/>
        <family val="2"/>
      </rPr>
      <t>Avez-vous fixé un objectif et des responsables pour la planification des modifications ?</t>
    </r>
  </si>
  <si>
    <r>
      <t xml:space="preserve">Comment démontrez-vous l'adéquation de vos ressources pour la surveillance et la mesure?
</t>
    </r>
    <r>
      <rPr>
        <i/>
        <sz val="7"/>
        <rFont val="Arial"/>
        <family val="2"/>
      </rPr>
      <t>Avez-vous spécifié le type d'activités de surveillance de ces ressources ?</t>
    </r>
    <r>
      <rPr>
        <sz val="7"/>
        <rFont val="Arial"/>
        <family val="2"/>
      </rPr>
      <t xml:space="preserve"> </t>
    </r>
  </si>
  <si>
    <r>
      <t xml:space="preserve">Comment sensibilisez-vous vos collaborateurs ?
</t>
    </r>
    <r>
      <rPr>
        <i/>
        <sz val="7"/>
        <rFont val="Arial"/>
        <family val="2"/>
      </rPr>
      <t>Avez-vous planifié des sensibilisations aux objectifs et à la politique qualité ?</t>
    </r>
  </si>
  <si>
    <r>
      <t xml:space="preserve">Comment assurez-vous la communication dans l'organisation?
</t>
    </r>
    <r>
      <rPr>
        <i/>
        <sz val="7"/>
        <rFont val="Arial"/>
        <family val="2"/>
      </rPr>
      <t>Avez-vous déterminé des besoins de communication pertinentes pour le SMQ ?</t>
    </r>
  </si>
  <si>
    <r>
      <t xml:space="preserve">Avez-vous planifié et développé les processus nécessaire à la réalisation du produit et services ? 
</t>
    </r>
    <r>
      <rPr>
        <i/>
        <sz val="7"/>
        <rFont val="Arial"/>
        <family val="2"/>
      </rPr>
      <t>Avez-vous déterminé les exigences relatives à ces produits et services ? 
Comment assurez-vous leur conformité ?</t>
    </r>
  </si>
  <si>
    <r>
      <t xml:space="preserve">Comment planifiez-vous la conception et le développement des produits et services ?
</t>
    </r>
    <r>
      <rPr>
        <i/>
        <sz val="7"/>
        <rFont val="Arial"/>
        <family val="2"/>
      </rPr>
      <t xml:space="preserve">Avez-vous identifié la durée nécessaire pour la réalisation des activités ? </t>
    </r>
  </si>
  <si>
    <r>
      <t xml:space="preserve">Comment assurez-vous la maîtrise du processus C&amp;D?
</t>
    </r>
    <r>
      <rPr>
        <i/>
        <sz val="7"/>
        <rFont val="Arial"/>
        <family val="2"/>
      </rPr>
      <t xml:space="preserve">Avez-vous vérifié la conformité et mesurez les écarts entre les éléments de sortie et les exigences d'entrée ? </t>
    </r>
  </si>
  <si>
    <r>
      <t xml:space="preserve">Comment gérez-vous les modifications relatives à la réalisation ? 
</t>
    </r>
    <r>
      <rPr>
        <i/>
        <sz val="7"/>
        <rFont val="Arial"/>
        <family val="2"/>
      </rPr>
      <t>Avez-vous identifié une personne à approuver les modifications ?</t>
    </r>
  </si>
  <si>
    <t>- Déployer auprès de tous la politique, l'engagement de la direction 
- Faire une communication sur la politique qualité avec les objectifs principaux et des résultats globaux
- Renforcer l'engagement sur l’importance de la contribution de chaque collaborateur et la répercussion d’un non-respect des exigences</t>
  </si>
  <si>
    <t xml:space="preserve">- La personne audité doit connaître les documents nécessaire pour ses activités et les montrer à l'auditeur comme preuve
- Utiliser les dernières version applicable
- Connaître l'accès à la documentation utile </t>
  </si>
  <si>
    <t>- Plan de Management Projet 
- Proposition Technique et Commerciale
- Réseaux métier / SharePoint
- Contrat d'achat
- Accord de confidentialité</t>
  </si>
  <si>
    <t>- Plan de Management Projet
- Demande de changement
- SharePoint dédiés</t>
  </si>
  <si>
    <t>- Maintenir régulièrement les infrastructures de l'entreprise 
(  L’infrastructure peut comprendre:
a) les bâtiments et les services associés;
b) les équipements, y compris matériels et logiciels;
c) les moyens de transport; 
d) les technologies de l'information et de la communication )</t>
  </si>
  <si>
    <t xml:space="preserve">-  Gérer l’environnement de travail nécessaire pour obtenir la conformité du produit en recherchant l’excellence </t>
  </si>
  <si>
    <t>- Partager les connaissances essentielles
- Gérer les connaissances comme un processus en soi
- Enrichir la gestion des connaissances par un retour d'expérience et des bonnes pratiques</t>
  </si>
  <si>
    <t xml:space="preserve">- Mettre en place des actions permettant l'amélioration des  compétences et les évaluer régulièrement 
- Mettre en place un processus pour vérifier la fiabilité et de la véracité des données des candidats avant la signature du contrat
- Evaluer les formations en mettant en place un questionnaire suite à la formation
- Par typologie des formations, définir là où il doit y avoir une validation des acquis (Formation certifiant)
</t>
  </si>
  <si>
    <t>- Communications pilotes/ACQP
- SharePoint Métier</t>
  </si>
  <si>
    <t>- Liste de documents contenant la confidentialité des documents et des enregistrements
- Procédures et guides contenant la liste des documents et des enregistrements associés au processus, les lieux de stockages et les délais de conservations associés
- Liste des documents dans chaque revue de processus
- Malte ou Réseau métier ou SharePoint métier
- Enregistrements conformes aux règles définies dans la documentation du processus</t>
  </si>
  <si>
    <t>- Définir des responsabilités et des autorités cohérente avec la stratégie de l'entreprise
- Créer une matrice de responsabilités affectant le rôle de chacun</t>
  </si>
  <si>
    <t>- Planifier, mettre en oeuvre et maîtriser les processus nécessaires pour satisfaire aux exigences relatives à la fourniture des produits et à la prestation de services
- Réaliser les actions permettant la conformité du processus
 - Intégrer la gestion et la revue des exigences
- Intégrer la gestion des risques
- Intégrer la notion de revue d'offre et revue de contrat
- Intégrer la propriété client 
- Intégrer un paragraphe sur les échanges avec le client
-Ajouter la notion de confidentialité sur la trame générique
- Intégrer un paragraphe pour la sécurité des personnes 
- Intégrer un paragraphe sur les éléments critiques</t>
  </si>
  <si>
    <t>- L'élément critique est un élément ayant un effet significatif sur la réalisation du produit et l’usage du produit. Élément en lien avec les caractéristiques clés du produit. Ces éléments critiques nécessitent une surveillance du processus et un renforcement des contrôles du produit.</t>
  </si>
  <si>
    <t>- Planifier, mettre en oeuvre et maîtriser un processus de gestion des risques de ne pas satisfaire les exigences applicables aux activités opérationnelles
- Attribuer les responsabilités de gestion du risque lié aux activités opérationnelles
- Définir les critères d'évaluation des risques (par exemple, probabilité, conséquences, acceptation des risques) 
- Identifier, évaluer, et communiquer les risques liés à l'ensemble des activités opérationnelles 
- Identifier, mettre en oeuvre et gerer les actions de réduction des risques qui dépassent les seuils d'acceptation des risques définis
- Accepter les risques résiduels, après mise en oeuvre des actions de réduction des risques.</t>
  </si>
  <si>
    <t>- Maîtriser un processus de gestion de la configuration afin d'assurer l'identification et la maîtrise des caractéristiques physiques et fonctionnelles tout au long du cycle de vie du produit
- Maîtriser l'identité et la traçabilité du produit par rapport aux exigences, y compris l'application des évolutions identifiées
- Assurer que l'information documentée (par exemple : les exigences, la définition, la vérification, la validation et la documentation d'acceptation) est cohérente avec les caractéristiques réelles des produits et des services.</t>
  </si>
  <si>
    <t>- Mettre en oeuvre des processus permettant d'assurer la sécurité du produit, pendant toute la durée de son cycle de vie, de façon appropriée à l'organisme et au produit.</t>
  </si>
  <si>
    <t>-Planifier des processus permettant la prévention de l'utilisation des pièces contrefaites ou suspectées de l'être et leur inclusion dans les produits livrés au client</t>
  </si>
  <si>
    <t>-  Intégrer dans la trame de PTC (Proposition Technique Commercial) un paragraphe sur les échanges avec le client et la gestion de la propriété client
- Intégrer / vérifier à la trame de PMP (Plan de management de projet) un paragraphe sur les échanges avec le client, la gestion de la propriété client et les exigences spécifiques relatives aux actions d’urgence</t>
  </si>
  <si>
    <t>- Définir la liste des parties intéressées et leurs exigences dans le manuel SMI (Schéma avec représentation des influences des parties intéressées, en ressortir des risques et des opportunités)
- Intégrer la gestion des exigences
- Faire une MCE (Matrice de Conformité aux Exigences) générique 
- Faire une analyse des satisfaction des candidats (enquête de satisfaction) et en sortir un PA (Plan d'Action)
- Faire une analyse des évaluations salariés (Questionnaire) en mode quali et en sortir un PA
- Ajouter la notion d'attente aux parties intéressées dans les procédures ou / et les processus 
- S'assurer de la gestion des exigences sur les projets (Process + Preuves)</t>
  </si>
  <si>
    <t>- Vérifier le domaine d'application contenu dans le manuel SMI (Système de Management Intégré) et les justifications d'exclusion et la cohérence aux attentes des parties intéressées 
- Vérifier que le domaine d'application prend en compte des enjeux externes et internes, des parties intéressées et leurs attentes, et aux produits et services de l'organisme</t>
  </si>
  <si>
    <t>- Mettre à jour le fichier de suivi des points pilote
- S'assurer de la cohérence de la Revue de Direction et Revue de processus avec les pratiques actuelles
- Etablir une fiche de fonction du pilote de processus
- Ajouter un item sur la compétence et la disponibilité / le nb de ressources dans les RdP (Revue de Processus)</t>
  </si>
  <si>
    <t>- En interrogeant un échantillon d'utilisateurs du SI (Système d'Information) de différents types (managers, collaborateurs, agents, prestataires extérieurs, administrateurs…), il doit être possible de savoir si une communication a été réalisée autour de la Politique
- Déployer la politique qualité à tous les parties intéressées pertinentes et s'assurer de sa compréhension</t>
  </si>
  <si>
    <t>- Tagguer les risques dans le formulaire de risque du nouveau plan de progrès
- Créer une procédure pour décrire la gestion des risques entreprise et processus
- Mise en œuvre un management des risques dans une démarche QSE (Qualité, Sécurité, Environnement) à tous les niveaux de l'organisme
- Identifier et évaluer les risques et opportunités</t>
  </si>
  <si>
    <t xml:space="preserve"> -Déployer les objectifs qualité à tous les niveaux de l’organisme et les mettre en cohérence avec la stratégie de l’organisme
- Fiabiliser le TdB (Tableau de Bord) Qualité 
- Revoir les indicateurs : assurer leur pertinence, leur fiabilité, leur adéquation avec la politique 
- Récupérer les données des reports du service qualité et des processus pour les intégrer 
- Développer un TdB à la strate BU (Business Unit) (à partir du TdB Qualité) et avoir une vision de fonction contributrice</t>
  </si>
  <si>
    <t xml:space="preserve">- Assurer la conservation de CR (Compte Rendu) de réunions, des parcours d'intégration et des preuves nécessaires
</t>
  </si>
  <si>
    <t>- Définir où doivent être identifiés les niveaux de confidentialité des enregistrements
- Guide de la gestion de la documentation client, toute documentation récupérée du client ou produite pour le client
- Gestion de la doc SMI appliquée client - Ex : Check List livrables, docs pour les clients etc. .... 
- Confidentialité et stockage des documents clients à ajouter</t>
  </si>
  <si>
    <t>- S'assurer que l'organisation peut répondre à tous les réclamations relatives aux produits et services proposées par le client afin de réduire les insatisfactions</t>
  </si>
  <si>
    <t>- Définir une gestion des exigences spéciales
- Etendre dans la trame de PTC le paragraphe "Exigences spéciales" à tout type d'exigences</t>
  </si>
  <si>
    <t>- Ajouter la notion de revue des exigences et les fonctions concernées par la revue et la validation 
- S'assurer pour chaque revue d'offre qu'il y ait la matrice de revue des exigences
- Conserver toutes informations documentées prouvant les résultats de la revue et toute nouvelle exigence relative aux produits et services.</t>
  </si>
  <si>
    <t>- Créer un processus de conception et développement</t>
  </si>
  <si>
    <t>- S’assurer que les informations documentées correspondantes sont amendées et que le personnel concerné est informé des exigences modifiées, lorsque les exigences relatives aux produits et services sont modifiées.
- Ajouter dans le processus de change management qu'il y ait une partie analyse des impacts, communication vers le client et processus d'acceptation des modifications</t>
  </si>
  <si>
    <t>Lors de la détermination des étapes et de la maîtrise de la conception et du développement, l’organisme doit prendre en compte:
a) la nature, la durée et la complexité des activités de conception et de développement;
b) les étapes requises du processus, y compris les revues de la conception et du développement applicables;
c) les activités requises pour la vérification et la validation du processus de conception et de développement;
d) les responsabilités et autorités impliquées dans le processus de conception et de développement;
e) les besoins en ressources internes et externes pour la conception et le développement des produits et services;
f) la nécessité de maîtriser les interfaces entre les personnes impliquées dans le processus de conception et de développement;
g) la nécessité d’impliquer des clients et des utilisateurs dans le processus de conception et de développement;
h) les exigences relatives à la fourniture des produits et la prestation de services ultérieures;
ï) le niveau de maîtrise du processus de conception et de développement attendu par les clients et les autres parties intéressées pertinentes;
j) les informations documentées nécessaires pour démontrer que les exigences relatives à la conception et au développement ont été satisfaites.</t>
  </si>
  <si>
    <t>Les éléments d'entrée sont:
- les exigences fonctionnelles et les exigences de performance;
- les informations issues d’activités similaires précédentes de conception et de développement;
- les exigences légales et réglementaires;
- les normes ou les règles internes, «règles de l’art», que l’organisme s’est engagé à mettre en oeuvre;
- les conséquences potentielles d’une défaillance liée à la nature des produits et services;
- lorsque c’est applicable, les conséquences potentielles des obsolescences (par exemple, matières, procédés, composants, équipements, produits).</t>
  </si>
  <si>
    <t>S'assurer que les éléments de sortie:
- satisfont aux exigences d’entrée; 
- sont adéquats pour les processus ultérieurs relatifs à la fourniture des produits et à la prestation de services;
- contiennent ou font référence à des exigences de surveillance et de mesure, le cas échéant, et à des critères d’acceptation;
- spécifient les caractéristiques des produits et services qui sont essentielles pour leur usage prévu et leur fourniture ou prestation appropriée et en toute sécurité.</t>
  </si>
  <si>
    <t>- Ajouter dans le processus de gestion des exigences client PS la notion de recherche des règles de l'art, exigences légales, …
- Avoir une preuve de la vérification de l'exhaustivité des données d'entrées avec un enregistrement du style kick-off 
- Définir où sont les livrables de la conception et du développement pour les projets
- Définir les différents jalons, la nature et la complexité des activités de conception et de développement
- Vérifier la preuve d'étape de vérification des livrables avant livraison 
- S’assurer que les éléments de sortie de la conception et du développement satisfont aux exigences d’entrée
- Intégrer les passages de jalon au process ainsi que les revues</t>
  </si>
  <si>
    <t>Examen d'une conception, mené de façon complète et systématique à l'aide de documents, en vue d'évaluer sa capacité à satisfaire aux exigences pour la qualité, d'identifier les problèmes et, s'il y en a, de proposer le développement de solutions</t>
  </si>
  <si>
    <t xml:space="preserve"> La revue de conception doit inclure les éléments suivants:
- Les éléments d'entrée
- Les éléments de sortie
- Les résultats attendus
- Les activités de vérification 
- L'évaluation de l'aptitude des résultats
- Les activités de validation 
- Les actions nécessaires mises en place</t>
  </si>
  <si>
    <t>Revue de conception</t>
  </si>
  <si>
    <t>- Vérifier dans le processus de change management qu'il y ait une partie analyse des impacts, communication vers le client et processus d'acceptation des modifications
- Identifier, passer en revue et maîtriser les modifications apportées, en tant que de besoin pour s’assurer qu’elles n’aient pas d’impact négatif sur la conformité aux exigences.</t>
  </si>
  <si>
    <r>
      <t xml:space="preserve">Comment faites-vous les référencements des prestataires ? </t>
    </r>
    <r>
      <rPr>
        <sz val="7"/>
        <rFont val="Arial"/>
        <family val="2"/>
      </rPr>
      <t xml:space="preserve">
</t>
    </r>
    <r>
      <rPr>
        <i/>
        <sz val="7"/>
        <rFont val="Arial"/>
        <family val="2"/>
      </rPr>
      <t>Qui peut référencer un nouveau fournisseur ?</t>
    </r>
  </si>
  <si>
    <t>Gestion des prestataires externes :
- Ajouter dans le contrat générique  ou dans le cahier des charges générique un paragraphe sur les exigences, l'approbation, les compétences, les qualifications nécessaires, la maitrise, la surveillance et les réunions, les indicateurs suivis, les vérifications et les validations
- Mettre à jour les procédures de sélection et d'évaluation
- Pour les AT : Avoir des documents attestant de la sélection, la vérification et la conformité de la prestation livrée et l'évaluation.
- Définir et appliquer des critères pour l’évaluation, la sélection, la surveillance des performances et la réévaluation des prestataires extern
- Définir les audits fournisseur à réaliser (qui, fréquence, PA)
- Vérifier si le formulaire Selection des fournisseurs est systématiquement rédigé.
- Définir la règle du scoring fournisseur. 
- Mettre à jour le registre fournisseur 
- Définir le process d'approbation (Différents statuts, resp de statut, statut selon actions en cours / notation éval)</t>
  </si>
  <si>
    <t xml:space="preserve">- Identifier et enregistrer le produit afin de permettre son rappel et son remplacement s'il s'avère par la suite qu'il ne satisfait pas les exigences.
- Lorsque l’organisme délègue des activités de vérification au prestataire externe, définir le périmètre et les exigences de la délégation et mettre à jour un registre de ces délégations </t>
  </si>
  <si>
    <t>Communiquer aux prestataires externes les exigences concernant:
a) les processus, produits et services devant être fournis
b) l’approbation des produits et services, des méthodes, des processus et des équipements et de leur libération;
c) les compétences;
d) les interactions des prestataires externes avec l’organisme;
e) la maîtrise et la surveillance des performances des prestataires externes;
f) les activités de vérification ou de validation;
g) la maîtrise de la conception et du développement ;
h) les exigences spéciales, éléments critiques, ou caractéristiques clés ;
i) les essais, contrôles et vérifications 
j) l'utilisation de techniques statistiques pour l'acceptation du produit et les instructions associées pour l'acceptation par l'organisme ;
k) le besoin de :
- mettre en oeuvre un système de management de la qualité ;
- utiliser des prestataires externes désignés par le client ou approuvés, y compris les sources pour les procédés (par exemple, procédés spéciaux) ;
- notifier à l'organisme les non-conformités des processus, produits ou services et obtenir son accord pour leur traitement ;
- prévenir l'utilisation de pièces contrefaites (voir 8.1.4 Prévention des pièces contrefaites) ;
- notifier à l'organisme les changements impactant les processus, produits ou services, y compris les changements de prestataires externes ou de lieu de production et obtenir son accord ;
- répercuter aux prestataires externes les exigences applicables, y compris les exigences du client ;
- fournir des spécimens d’essais pour l'approbation de la conception, les contrôles/ vérifications, les investigations ou les audits ;
- conserver les informations documentées, y compris les durées de conservation et les exigences en matière de destruction ;
l) le droit d'accès par l'organisme, ses clients et les autorités réglementaires aux locaux opportuns de tous les sites et aux informations documentées applicables, à tout niveau de la chaîne d'approvisionnement ;
m) l’assurance que les personnes sont sensibilisées à :
- leur contribution à la conformité du produit ou du service ;
- leur contribution à la sécurité du produit ;
- l'importance d'un comportement éthique.</t>
  </si>
  <si>
    <t>- Ajouter dans le processus de gestion des exigences client PS la notion de recherche des règles de l'art, exigences légales, …
- Avoir une preuve de la vérification de l'exhaustivité des données d'entrées avec un enregistrement du style kick-off 
- Définir où sont les livrables de la conception et du développement pour les projets
- Définir les différents jalons, la nature et la complexité des activités de conception et de développement
- Vérifier la preuve d'étape de vérification des livrables avant livraison 
- S’assurer que les éléments de sortie de la conception et du développement satisfont aux exigences d’entrée
- Intégrer les passages de jalon au process ainsi que les revues
- Vérifier l'existence du / créer le Plan de Gestion de la Configuration (PGC)
- Maîtriser un processus de gestion de la configuration afin d'assurer l'identification et la maîtrise des caractéristiques physiques et fonctionnelles tout au long du cycle de vie du produit</t>
  </si>
  <si>
    <t>- Sharepoint dédiés
- Plan de gestion de la configuration</t>
  </si>
  <si>
    <t>- Revues de conception
- Procédure d'essai
- Plan d'essai
- Résultats / rapports d'essai
- Plan de gestion de la configuration</t>
  </si>
  <si>
    <t>- Désigner des personnes qualifiées pour réaliser les audits internes
- Récupérer les preuves de compétences des auditeurs qualifiés  
- Indiquer dans le process la validation des acquis par l'expérience et voir si tout le monde et couvert par les règles établies (Norme auditable et audit interne )
- Mettre à jour les rapports d'audit interne précédents avec l'avancement des actions 
- Mettre à jour la planification pour que tout soit bon sur 3 ans
- Vérifier la liste des auditeurs et la cohérence des planifications 
- Mettre à jour la participation des auditeurs aux audits 
- Modifier le Plan d'audit pour mettre les nouveaux chapitres de la norme de l'audit
- Veiller à ce que les résultats des audits soient rapportés à la direction concernée;
- Entreprendre sans délai indu la correction et les actions correctives appropriées;
- Conserver des informations documentées comme preuves de la mise en oeuvre du programme d’audit et des résultats d’audit.</t>
  </si>
  <si>
    <t>La revue de direction doit contenir les éléments suivants :
- l’état d’avancement des actions décidées à l’issue des revues de direction précédentes;
- les modifications des enjeux externes et internes pertinents pour le système de management de la qualité;
- les informations sur la performance et l’efficacité du système de management de la qualité, y compris les tendances concernant:
a) la satisfaction des clients et les retours d’information des parties intéressées pertinentes;
b) le degré de réalisation des objectifs qualité;
c) la performance des processus et la conformité des produits et services;
d) les non-conformités et les actions correctives;
e) les résultats de la surveillance et de la mesure;
f) les résultats d’audit;
g) les performances des prestataires externes;
h) la performance de ponctualité des livraisons. (spécifité EN9100)
- l’adéquation des ressources;
- l’efficacité des actions mises en œuvre face aux risques et opportunités 
- les opportunités d’amélioration.</t>
  </si>
  <si>
    <t>- Déterminer et sélectionner les opportunités d’amélioration et entreprendre toutes les actions nécessaires pour satisfaire aux exigences du client et accroître la satisfaction du client.
Cela doit inclure :
a) l’amélioration des produits et services afin de satisfaire aux exigences et de prendre en compte les besoins et attentes futurs ;
b) la correction, la prévention ou la réduction des effets indésirables ;
c) l’amélioration de la performance et de l’efficacité du système de management de la qualité.</t>
  </si>
  <si>
    <t>- Lorsqu’une non-conformité se produit, y compris celle liée à une réclamation, réagir pour la maîtriser et la corriger et prendre en charge les conséquences
- Evaluer la non-conformité s’il est nécessaire de mener une action pour éliminer la ou les causes, afin qu’elle ne se reproduise pas ou n’apparaisse pas ailleurs
- Analyser la non-conformité
- Rechercher et analyser les causes de la non-conformité
- Recherchant si des non-conformités similaires existent ou pourraient éventuellement se produire
- Mettre en oeuvre toutes les actions requises
- Examiner l’efficacité de toute action corrective mise en oeuvre
- Réaliser une analyse de causes
- Préparer un 5P tout en précisant dans quel cas on le fait, quand et quels sont les critères
- Préparer un 8D tout en précisant dans quel cas on le fait, quand et quels sont les critères</t>
  </si>
  <si>
    <t>- Améliorer en continu la pertinence, l’adéquation et l’efficacité du système de management de la qualité.
- Prendre en compte les résultats de l’analyse et de l’évaluation, ainsi que les éléments de sortie de la revue de direction pour déterminer s’il existe des besoins ou des opportunités à considérer dans le cadre de l’amélioration continue
- Vérifier l'adéquation et la pertinence des critères d'efficacité renseignés pour les actions dans les RdP
- Surveiller la mise en oeuvre des activités d'amélioration et évaluer l'efficacité des résultats</t>
  </si>
  <si>
    <t>Salariés, Clients, Fournisseurs, Syndicat, Actionnaires…</t>
  </si>
  <si>
    <t>Parties Intéressées Pertinentes sont des individus ou un groupe d’individus qui présentent un risque significatif pour la pérennité de l’organisation si leurs besoins et exigences ne sont pas répondus.</t>
  </si>
  <si>
    <t>Procédure, formulaire, fiche processus, manuel qualité, matrice de compétence, instruction de travail…</t>
  </si>
  <si>
    <t>Une information documentée est une information qui nécessite d’être contrôlée et tenue à jour par un organisme et le format sur lequel elle est contenue</t>
  </si>
  <si>
    <t>Prestataire externe</t>
  </si>
  <si>
    <t>Un prestataire est une personne ou organisme qui procure un produit ou un service</t>
  </si>
  <si>
    <t>Producteur, distributeur, détaillant, vendeur…</t>
  </si>
  <si>
    <t>Action Corrective</t>
  </si>
  <si>
    <t>Une action corrective est une action visant à éliminer la cause d’une non-conformité et à éviter sa réapparition</t>
  </si>
  <si>
    <t>Plan d'Audit</t>
  </si>
  <si>
    <t>Un plan d'audit est une description des activités et des dispositions nécessaires pour réaliser un audit</t>
  </si>
  <si>
    <t>Gestion de la Configuration</t>
  </si>
  <si>
    <t>La gestion de la configuration est une forme des activités coordonnées en vue du pilotage et de la maîtrise de la configuration.
Elle généralement centrée sur les activités d'ordre technique et organisationnel qui établissent et maintiennent la maîtrise d'un produit ou d'un service et de son information de configuration tout au long de son cycle de vie.</t>
  </si>
  <si>
    <t>Infrastructure</t>
  </si>
  <si>
    <t>Une infrastructure est unsystème des installations, équipements et services nécessaires au fonctionnement d'un organisme</t>
  </si>
  <si>
    <t>Les batiments, les équipements, les matériels, les logiciels…</t>
  </si>
  <si>
    <t>L'outil vous propose une manière facile pour évaluer et lever les non conformité de vos système de management pour l'obtention de vos certification ISO 9001:2015 et NF EN 9100:2016. Il vous est destiné à vous, les responsables de qualité et tous les responsables de l'organisme, afin de bien améliorer en continue vos services qui répondent ou vont au delà des exigences applicables du client ainsi des exigences légales et réglementaire. 
Cet outil est aussi votre tableau de bord pour suivre, commenter et utiliser le plan d'action suggéré à votre système de management. De plus, il augmentera votre visibilité afin de minimiser les incertitudes et les risques de non-conformités. 
L'outil est réalisable à tout moment, avant la certification comme un audit blanc, pendant et / ou après la cetification afin de s'améliorer continuellement et d'éviter tout les non-conformités en répondant aux exigences. 
C'est un outil sous format Excel constitué de six onglets :
- INFORMATION : Explique le fonctionnement de l'outil et les critères d'évaluation
    - EXIGENCES : Des exigences sous forme des questions compréhensibles basées de la norme NF EN 9100:2016 pour analyser le système de management, ainsi il vous propose des exemples des preuves attendu lors d'un audit et un plan d'action en cas de présence d'une non-conformité ou une conformité partielle.
    - RÉSULTATS GLOBAUX : Vision global des résultats d'état des lieux 
    - RÉSULTATS DÉTAILLÉS : Résumé chiffré et détaillé des exigences évaluées.
    - CONSEILS : Terminologie nécessaires et des exemples pour bien clarifier ces termes.</t>
  </si>
  <si>
    <t>Résultat global par chapitre</t>
  </si>
  <si>
    <t>- Développer un TDB à la strate BU (à partir du TDB Qualité)
- Définir avec les BM concernés les actions, les tagguer dans le plan de progrès
- Vérifier la pertinence des critères d'efficacité et la complétude des renseignements dans le plan de progrès
- Vérifier que tout est bon dans PdP (Plan de prévention) 
- Capitaliser et analyser les remontées clients faites aux BM / aux CP directement 
- Expliquer les critères d'évaluation de la satisfaction (retard, compétences, avancement des actions, etc) 
- Evaluer la conformité des produits et services, le niveau de satisfaction des clients, la performance et l’efficacité du système de management de la qualité, l’efficacité avec laquelle la planification a été mise en oeuvre, l’efficacité des actions mises en oeuvre face aux risques et opportunités, la performance des prestataires externes, la performance de ponctualité des livraisons et le besoin en améliorations du système de management de la qualité.</t>
  </si>
  <si>
    <t>- AT : Suivi mission 
- PS : Satisfaction RAG
- Mesures satisfaction client spontanées (FEP, FAM) et remontées GAM
- Enquête consultants + Reporting RSI
- Résultats des audits clients 
- CR réunions avec le client / COPIL
- Baromètre candidat + analyse + PA</t>
  </si>
  <si>
    <t>- Mettre en place un questionnaire de satisfaction des candidats après entretien, l'analyser et mettre en place un plan d'action
- Développer un TDB à la strate BU (à partir du TDB Qualité)
- Définir avec les BM concernés les actions, les tagguer dans le plan de progrès
- Vérifier la pertinence des critères d'efficacité et la complétude des renseignements dans le plan de progrès
- Vérifier que tout est bon dans PdP (Plan de prévention) 
- Capitaliser et analyser les remontées clients faites aux BM / aux CP directement 
- Expliquer les critères d'évaluation de la satisfaction (retard, compétences, avancement des actions, etc) 
- Evaluer la conformité des produits et services, le niveau de satisfaction des clients, la performance et l’efficacité du système de management de la qualité, l’efficacité avec laquelle la planification a été mise en oeuvre, l’efficacité des actions mises en oeuvre face aux risques et opportunités, la performance des prestataires externes, la performance de ponctualité des livraisons et le besoin en améliorations du système de management de la qualité.</t>
  </si>
  <si>
    <t xml:space="preserve">- Mettre en œuvre la production et la prestation de service dans des conditions maîtrisées.
Les conditions maîtrisées sont:
- Avoir la disponibilité des informations documentées qui précisent les caractéristiques des services ou des activités et les résultats à obtenir
- Avoir la disponibilité et l’utilisation de ressources appropriées pour la surveillance et la mesure
- Vérifier que les critères relatifs à la maîtrise des processus ou des éléments de sortie et les critères d’acceptation relatifs aux produits et services ont été satisfaits
- </t>
  </si>
  <si>
    <t>- Définir des critères de revue et d’approbation des procédés 
- Déterminer les conditions à satisfaire pour que l'approbation soit maintenue 
- L’approbation des installations et des équipements 
- Avoir des personnes qualifiées
- Utiliser de méthodes et de procédures spécifiques pour la mise en oeuvre et la surveillance des procédés 
- Conserver les informations documentées nécessaires.</t>
  </si>
  <si>
    <t>- Mettre en place des activités de vérification des procédés de production pour s'assurer que ceux-ci permettent de fabriquer des produits qui satisfont les exigences.
-  Conserver l'information documentée relative aux résultats de la vérification des procédés de production.</t>
  </si>
  <si>
    <t xml:space="preserve">Avez-vous rédigé un document prouvant que votre produit est conforme aux critères d'acceptation ? </t>
  </si>
  <si>
    <t>- La libération des produits et services au client ne doit pas être effectuée avant l’exécution satisfaisante de toutes les dispositions planifiées, sauf approbation par une autorité compétente et, le cas échéant, par le client.
- Conserver les informations documentées concernant la libération des produits et services (des preuves de la conformité aux critères d’acceptation, la traçabilité jusqu’à la (aux) personne(s) ayant autorisé la libération).
- S'assurer que l'information documentée qui a été conservée apporte la preuve que les produits et services satisfont aux exigences définies.
- S'assurer que toutes les informations documentées exigées pour accompagner les produits et services sont présentes lors de la livraison.</t>
  </si>
  <si>
    <t>Comment sont-elles captés, enregistrées et traités les non-conformités ?</t>
  </si>
  <si>
    <t>Les informations documentées Exigées</t>
  </si>
  <si>
    <t>L'information documentée</t>
  </si>
  <si>
    <t>Chapitre</t>
  </si>
  <si>
    <t>Action</t>
  </si>
  <si>
    <t xml:space="preserve">Responsable </t>
  </si>
  <si>
    <t>Avancement</t>
  </si>
  <si>
    <t>Statut de l'action</t>
  </si>
  <si>
    <t>Décalée</t>
  </si>
  <si>
    <t>Pas débutée</t>
  </si>
  <si>
    <t>Retard</t>
  </si>
  <si>
    <t>Terminée</t>
  </si>
  <si>
    <t>Le domaine d'application</t>
  </si>
  <si>
    <t>4.3 Détermination du domaine d’application du système de management de la qualité</t>
  </si>
  <si>
    <t>Manuel Qualité</t>
  </si>
  <si>
    <t>La politique qualité</t>
  </si>
  <si>
    <t>5.2 Politique</t>
  </si>
  <si>
    <t>Les objectifs qualité</t>
  </si>
  <si>
    <t>6.2.1 Objectifs qualité et planification des actions pour les atteindre</t>
  </si>
  <si>
    <t xml:space="preserve">Enjeux externes et internes </t>
  </si>
  <si>
    <t xml:space="preserve">Besoins et attentes des parties prenantes </t>
  </si>
  <si>
    <t xml:space="preserve">Cartographie des processus </t>
  </si>
  <si>
    <t xml:space="preserve">Mise en oeuvre et performance processus </t>
  </si>
  <si>
    <t xml:space="preserve">Définitions de fonction </t>
  </si>
  <si>
    <t>Analyse de risques</t>
  </si>
  <si>
    <t>Documents relatifs aux connaissances organisationnelles</t>
  </si>
  <si>
    <t xml:space="preserve">Preuves de compétences </t>
  </si>
  <si>
    <t xml:space="preserve">Conformité produit / service </t>
  </si>
  <si>
    <t xml:space="preserve">Revue des exigences / Revue d'offre / Revue de contrat </t>
  </si>
  <si>
    <t xml:space="preserve">Modification des exigences </t>
  </si>
  <si>
    <t xml:space="preserve">Conformité aux exigences </t>
  </si>
  <si>
    <t xml:space="preserve">Eléments d'entrée de la conception et du développement </t>
  </si>
  <si>
    <t xml:space="preserve">Résultats et activités de vérification </t>
  </si>
  <si>
    <t xml:space="preserve">Eléments de sortie de la conception et du développement </t>
  </si>
  <si>
    <t xml:space="preserve">Modifications de la conception et du développement </t>
  </si>
  <si>
    <t xml:space="preserve">Activités et actions des évaluations des prestataires externes </t>
  </si>
  <si>
    <t xml:space="preserve">Caractéristiques des prestations à fournir, résultats à obtenir </t>
  </si>
  <si>
    <t xml:space="preserve">Traçabilité des produits et services </t>
  </si>
  <si>
    <t>Situation de la propriété d'un client</t>
  </si>
  <si>
    <t xml:space="preserve">Modifications services </t>
  </si>
  <si>
    <t xml:space="preserve">Libération produit / service </t>
  </si>
  <si>
    <t xml:space="preserve">Traitement des non conformités + information client </t>
  </si>
  <si>
    <t xml:space="preserve">Satisfaction client </t>
  </si>
  <si>
    <t xml:space="preserve">Efficacité actions suite à risque ou opportunité </t>
  </si>
  <si>
    <t xml:space="preserve">Efficacité de la planification </t>
  </si>
  <si>
    <t xml:space="preserve">Programme d'audit et résultats des audits </t>
  </si>
  <si>
    <t xml:space="preserve">Eléments de sortie de la revue de direction </t>
  </si>
  <si>
    <t>Non-Conformité et Amélioration continue</t>
  </si>
  <si>
    <t>4.1 Compréhension de l’organisme et de son contexte</t>
  </si>
  <si>
    <t>4.2 Compréhension des besoins et des attentes des parties intéressées</t>
  </si>
  <si>
    <t>5.3 Rôles, responsabilités et autorités au sein de l'organisme</t>
  </si>
  <si>
    <t>6.1 Actions à mettre en œuvre face aux risques et opportunités</t>
  </si>
  <si>
    <t>7.2 Compétences</t>
  </si>
  <si>
    <t>8.1 Planification et maîtrise opérationnelles</t>
  </si>
  <si>
    <t>8.6 Libération des produits et services</t>
  </si>
  <si>
    <t>Comment clôture-t-on les actions ?</t>
  </si>
  <si>
    <t>- Mesure d'efficacité 
- Mise à jour des risques et opportunités (si nécessaire)
- Modification des processus si nécessaire</t>
  </si>
  <si>
    <r>
      <t>- En amont : Une revue par processus pour faire le bilan de l'année (Retour sur les faits marquants, les évènements/audits/remontées clients (même internes), bilan risques/opportunités (</t>
    </r>
    <r>
      <rPr>
        <b/>
        <sz val="7"/>
        <color rgb="FF00B050"/>
        <rFont val="Arial"/>
        <family val="2"/>
      </rPr>
      <t>Best practice</t>
    </r>
    <r>
      <rPr>
        <sz val="7"/>
        <color rgb="FF00B050"/>
        <rFont val="Arial"/>
        <family val="2"/>
      </rPr>
      <t xml:space="preserve"> </t>
    </r>
    <r>
      <rPr>
        <sz val="7"/>
        <rFont val="Arial"/>
        <family val="2"/>
      </rPr>
      <t>: Faire des vrais processus transverses et mettre les interlocuteurs yc clients internes en séance)
- Support de revue de Direction comprenant : un bilan par process (</t>
    </r>
    <r>
      <rPr>
        <b/>
        <sz val="7"/>
        <color rgb="FF00B050"/>
        <rFont val="Arial"/>
        <family val="2"/>
      </rPr>
      <t>Best Practice</t>
    </r>
    <r>
      <rPr>
        <sz val="7"/>
        <color rgb="FF00B050"/>
        <rFont val="Arial"/>
        <family val="2"/>
      </rPr>
      <t xml:space="preserve"> </t>
    </r>
    <r>
      <rPr>
        <sz val="7"/>
        <rFont val="Arial"/>
        <family val="2"/>
      </rPr>
      <t>: SWOT + Résultats KPI + Plan d'actions N), un bilan par domaine (QSE, SSI, DD) (</t>
    </r>
    <r>
      <rPr>
        <b/>
        <sz val="7"/>
        <color rgb="FF00B050"/>
        <rFont val="Arial"/>
        <family val="2"/>
      </rPr>
      <t>Best Practice</t>
    </r>
    <r>
      <rPr>
        <sz val="7"/>
        <rFont val="Arial"/>
        <family val="2"/>
      </rPr>
      <t xml:space="preserve"> : Remontées + Résultats KPI de l'année + Actions N-1 + Plan d'actions N) respectant les exigences normatives, le retour des PI, avancement des actions N-1, bilan fournisseurs</t>
    </r>
  </si>
  <si>
    <r>
      <t>- Plan d'actions validé (</t>
    </r>
    <r>
      <rPr>
        <b/>
        <sz val="7"/>
        <color rgb="FF00B050"/>
        <rFont val="Arial"/>
        <family val="2"/>
      </rPr>
      <t>Best Practice</t>
    </r>
    <r>
      <rPr>
        <sz val="7"/>
        <rFont val="Arial"/>
        <family val="2"/>
      </rPr>
      <t xml:space="preserve"> : Lorsqu'applicable, laisser une trace des actions non validés, faire la RDD avant les budgets pour allocation / adéquation de ressources,  chaque pilote et responsable de domaines fait sa présentation et propose son plan d'actions)</t>
    </r>
  </si>
  <si>
    <r>
      <t xml:space="preserve">Comment planifiez-vous les audits internes ?
</t>
    </r>
    <r>
      <rPr>
        <i/>
        <sz val="7"/>
        <rFont val="Arial"/>
        <family val="2"/>
      </rPr>
      <t>Question plus fermée :Comment choisissez-vous les processus et les acteurs à auditer ?</t>
    </r>
  </si>
  <si>
    <t>Comment est défini votre collège d'auditeurs internes ?</t>
  </si>
  <si>
    <t>- Formation à la norme et à l'audit interne
- Liste d'auditeurs qualifiés</t>
  </si>
  <si>
    <t>- Planning d'audit défini sur 3 ans prenant en compte : l’importance des processus concernés, des modifications ayant une incidence sur l’organisme et des résultats des audits précédents</t>
  </si>
  <si>
    <t>- Analyse de l'écart et mise en place de plans d'actions avec responsable, délai, critère &amp; mesure d'efficacité
- Doit alimenter les risques et opportunités</t>
  </si>
  <si>
    <t>Zoom KPI prestataires externes : Avez-vous inclus, la performance de vos prestataires externes?</t>
  </si>
  <si>
    <t>X</t>
  </si>
  <si>
    <r>
      <t xml:space="preserve">- Indicateurs de suivi et de performance 
- Fréquence de mesure définie et formalisée
- </t>
    </r>
    <r>
      <rPr>
        <b/>
        <sz val="7"/>
        <color rgb="FF00B050"/>
        <rFont val="Arial"/>
        <family val="2"/>
      </rPr>
      <t>Best practice</t>
    </r>
    <r>
      <rPr>
        <sz val="7"/>
        <rFont val="Arial"/>
        <family val="2"/>
      </rPr>
      <t xml:space="preserve"> : Tableau de bord enrichi mensuellement, partagé avec l'équipe et présenté en réunion de service, si XLS : un tableau autoporteur : les objectifs sont indiqués visuellement sur les graphiques, les fréquences sont dans le tableau, il y a le maximum de menus déroulants, les objectifs ont une finalité (que souhaite-t-on obtenir comme data ? Comme action ?), le must : POWERBI
- </t>
    </r>
    <r>
      <rPr>
        <b/>
        <sz val="7"/>
        <rFont val="Arial"/>
        <family val="2"/>
      </rPr>
      <t>SATISFACTION</t>
    </r>
    <r>
      <rPr>
        <sz val="7"/>
        <rFont val="Arial"/>
        <family val="2"/>
      </rPr>
      <t xml:space="preserve"> : Mesure de la satisfaction du client externe à minima, le client doit émarger le document, le faire sur tous les processus sur leurs clients mêmes internes. Analyse des résultats, des retours sous toute forme pouvant alimenter l'analyse (si existant), mise en place de plan d'actions si nécessaire.
</t>
    </r>
    <r>
      <rPr>
        <b/>
        <sz val="7"/>
        <color rgb="FF00B050"/>
        <rFont val="Arial"/>
        <family val="2"/>
      </rPr>
      <t>Best practice</t>
    </r>
    <r>
      <rPr>
        <sz val="7"/>
        <rFont val="Arial"/>
        <family val="2"/>
      </rPr>
      <t xml:space="preserve"> : Envoi d'enquête, mise à disposition d'un outil de remontée collaborateur. Peut être étendu aux attentes des parties intéressées.
- </t>
    </r>
    <r>
      <rPr>
        <b/>
        <sz val="7"/>
        <rFont val="Arial"/>
        <family val="2"/>
      </rPr>
      <t>PRESTATAIRES EXTERNES</t>
    </r>
    <r>
      <rPr>
        <sz val="7"/>
        <rFont val="Arial"/>
        <family val="2"/>
      </rPr>
      <t xml:space="preserve"> : Evaluation à minima de la qualité des prestations / services .
</t>
    </r>
    <r>
      <rPr>
        <b/>
        <sz val="7"/>
        <color rgb="FF00B050"/>
        <rFont val="Arial"/>
        <family val="2"/>
      </rPr>
      <t xml:space="preserve">Best practice </t>
    </r>
    <r>
      <rPr>
        <sz val="7"/>
        <rFont val="Arial"/>
        <family val="2"/>
      </rPr>
      <t>: Définir par catégorie de marchandises / prestations les risques potentiels et mettre en adéquation les critères d'évaluation</t>
    </r>
  </si>
  <si>
    <r>
      <t xml:space="preserve">Quels sont les enjeux ? 
</t>
    </r>
    <r>
      <rPr>
        <i/>
        <sz val="7"/>
        <rFont val="Arial"/>
        <family val="2"/>
      </rPr>
      <t>Question plus fermée : Quelle est la finalité de votre entreprise / de votre service ? 
Quelle est votre stratégie ?</t>
    </r>
  </si>
  <si>
    <t>Quand les enjeux sont-ils revus ?</t>
  </si>
  <si>
    <r>
      <t xml:space="preserve">- Les enjeux doivent être revus dans la revue de direction 
</t>
    </r>
    <r>
      <rPr>
        <b/>
        <sz val="7"/>
        <color rgb="FF00B050"/>
        <rFont val="Arial"/>
        <family val="2"/>
      </rPr>
      <t>Best Practice</t>
    </r>
    <r>
      <rPr>
        <sz val="7"/>
        <rFont val="Arial"/>
        <family val="2"/>
      </rPr>
      <t>: Faire un SWOT entreprise pour définir les enjeux et les formaliser (enjeux externes: menaces et opportunités, enjeux internes: forces et faiblesses )</t>
    </r>
  </si>
  <si>
    <t>Quel est le plan d'actions issu de la revue de direction ? Comment est-il validé ?</t>
  </si>
  <si>
    <r>
      <t>Comment gérez-vous les non-conformité</t>
    </r>
    <r>
      <rPr>
        <sz val="7"/>
        <rFont val="Arial"/>
        <family val="2"/>
      </rPr>
      <t xml:space="preserve">?
</t>
    </r>
    <r>
      <rPr>
        <i/>
        <sz val="7"/>
        <rFont val="Arial"/>
        <family val="2"/>
      </rPr>
      <t>Quelles sont les actions mises en œuvre en cas de NC?</t>
    </r>
  </si>
  <si>
    <r>
      <t xml:space="preserve">Quels sont les résultats actuels ? Que faites-vous en cas d'écart ?
</t>
    </r>
    <r>
      <rPr>
        <i/>
        <sz val="7"/>
        <rFont val="Arial"/>
        <family val="2"/>
      </rPr>
      <t xml:space="preserve">Questions plus fermées : Mettez-vous en place des actions lorsque vous constatez des dérives dans vos résultats ? Analysez-vous vos données de manière annuelle ou lors de vos revues de processus ? Quelles sont les actions de l'année ? </t>
    </r>
  </si>
  <si>
    <t>Zoom KPI satisfaction : Avez-vous inclus, dans l'évaluation de la satisfaction du client, la performance de ponctualité des livraisons ?</t>
  </si>
  <si>
    <t>Zoom KPI satisfaction : Comment mesurez-vous la satisfaction de vos clients (yc internes) ?</t>
  </si>
  <si>
    <t>Quels sont vos indicateurs ? Avez-vous un tableau de bord ?</t>
  </si>
  <si>
    <r>
      <t xml:space="preserve">Comment remontez-vous une amélioration ? 
</t>
    </r>
    <r>
      <rPr>
        <i/>
        <sz val="7"/>
        <rFont val="Arial"/>
        <family val="2"/>
      </rPr>
      <t>Avez-vous mis en place des actions permettant l'amélioration de votre poste ou de l'entreprise ?</t>
    </r>
  </si>
  <si>
    <r>
      <t xml:space="preserve">Comment gérez-vous l'amélioration continue ?
</t>
    </r>
    <r>
      <rPr>
        <i/>
        <sz val="7"/>
        <rFont val="Arial"/>
        <family val="2"/>
      </rPr>
      <t>Question plus fermée : Comment prenez-vous en compte les données de sortie de la revue de direction ?</t>
    </r>
  </si>
  <si>
    <t>- Plan d'actions de la BU
- Information N+1 ou responsable de service concerné
- Boite à idées</t>
  </si>
  <si>
    <r>
      <t>- Rapport d'audit (</t>
    </r>
    <r>
      <rPr>
        <b/>
        <sz val="7"/>
        <color rgb="FF00B050"/>
        <rFont val="Arial"/>
        <family val="2"/>
      </rPr>
      <t>Best Practice</t>
    </r>
    <r>
      <rPr>
        <sz val="7"/>
        <color rgb="FF00B050"/>
        <rFont val="Arial"/>
        <family val="2"/>
      </rPr>
      <t xml:space="preserve"> </t>
    </r>
    <r>
      <rPr>
        <sz val="7"/>
        <rFont val="Arial"/>
        <family val="2"/>
      </rPr>
      <t>: Envoyer le rapport sous 3 jours, l'adresser à tous les audités + N+1 + pilotes nationaux)
- Elaboration du plan d'actions avec analyse de causes, resp, délai, colonnes critère &amp; mesure d'efficacité (</t>
    </r>
    <r>
      <rPr>
        <b/>
        <sz val="7"/>
        <color rgb="FF00B050"/>
        <rFont val="Arial"/>
        <family val="2"/>
      </rPr>
      <t>Best Practice</t>
    </r>
    <r>
      <rPr>
        <sz val="7"/>
        <color rgb="FF00B050"/>
        <rFont val="Arial"/>
        <family val="2"/>
      </rPr>
      <t xml:space="preserve"> </t>
    </r>
    <r>
      <rPr>
        <sz val="7"/>
        <rFont val="Arial"/>
        <family val="2"/>
      </rPr>
      <t>: A récupérer sous 15j après envoi du rapport)
- Suivi des actions à fréquence définie (</t>
    </r>
    <r>
      <rPr>
        <b/>
        <sz val="7"/>
        <color rgb="FF00B050"/>
        <rFont val="Arial"/>
        <family val="2"/>
      </rPr>
      <t>Best Practice</t>
    </r>
    <r>
      <rPr>
        <sz val="7"/>
        <color rgb="FF00B050"/>
        <rFont val="Arial"/>
        <family val="2"/>
      </rPr>
      <t xml:space="preserve"> </t>
    </r>
    <r>
      <rPr>
        <sz val="7"/>
        <rFont val="Arial"/>
        <family val="2"/>
      </rPr>
      <t>: Point mensuel puis trimestriel)
- Mise à jour des processus si nécessaire
- Mesures d'efficacité des actions
- Analyse annuelle : évolution / volumétrie par type de constats, analyse quali (à minima) (</t>
    </r>
    <r>
      <rPr>
        <b/>
        <sz val="7"/>
        <color rgb="FF00B050"/>
        <rFont val="Arial"/>
        <family val="2"/>
      </rPr>
      <t>Best Pratice</t>
    </r>
    <r>
      <rPr>
        <b/>
        <sz val="7"/>
        <rFont val="Arial"/>
        <family val="2"/>
      </rPr>
      <t xml:space="preserve"> </t>
    </r>
    <r>
      <rPr>
        <sz val="7"/>
        <rFont val="Arial"/>
        <family val="2"/>
      </rPr>
      <t>: Catégoriser les écarts selon des thématiques définies afin de mutualiser les actions + facilite l'analyse pour les revues de processus &amp; direction)</t>
    </r>
  </si>
  <si>
    <r>
      <t xml:space="preserve">Comment réalisez-vous votre bilan annuel ? Comment les données sont-elles analysées ?
</t>
    </r>
    <r>
      <rPr>
        <i/>
        <sz val="7"/>
        <rFont val="Arial"/>
        <family val="2"/>
      </rPr>
      <t xml:space="preserve">Question plus fermée :  Faites-vous une revue de direction  ou un bilan annuel? Quelles sont les éléments danalysés? </t>
    </r>
    <r>
      <rPr>
        <sz val="7"/>
        <rFont val="Arial"/>
        <family val="2"/>
      </rPr>
      <t xml:space="preserve">
</t>
    </r>
  </si>
  <si>
    <r>
      <t xml:space="preserve">- Plan de d'actions avec analyse de causes - action corrective (si adaptée) - délai - responsable
- Mise à jour des processus        
- </t>
    </r>
    <r>
      <rPr>
        <b/>
        <sz val="7"/>
        <color rgb="FF00B050"/>
        <rFont val="Arial"/>
        <family val="2"/>
      </rPr>
      <t>Best Practice</t>
    </r>
    <r>
      <rPr>
        <sz val="7"/>
        <rFont val="Arial"/>
        <family val="2"/>
      </rPr>
      <t>: exemple d'une analyse de cause: Mise en place de 8D</t>
    </r>
  </si>
  <si>
    <r>
      <t xml:space="preserve">- Revue de Direction 
- Revue de processus
- Plan d'actions
- </t>
    </r>
    <r>
      <rPr>
        <b/>
        <sz val="7"/>
        <color rgb="FF00B050"/>
        <rFont val="Arial"/>
        <family val="2"/>
      </rPr>
      <t>Best Practice</t>
    </r>
    <r>
      <rPr>
        <sz val="7"/>
        <rFont val="Arial"/>
        <family val="2"/>
      </rPr>
      <t xml:space="preserve"> : Baromètre candidat + analyse + PA
- Evaluation satisfaction salariés + analyse + PA</t>
    </r>
  </si>
  <si>
    <t>La politique de l'entreprise</t>
  </si>
  <si>
    <t>Date début de l'action</t>
  </si>
  <si>
    <t>Charge de réalisation</t>
  </si>
  <si>
    <t>4. Contexte de l'organisme</t>
  </si>
  <si>
    <t>5. Leadership</t>
  </si>
  <si>
    <t>6. Planification</t>
  </si>
  <si>
    <t>7. Support</t>
  </si>
  <si>
    <t>8. Réalisation des activités opérationnelles</t>
  </si>
  <si>
    <t>9. Évaluation des performances</t>
  </si>
  <si>
    <t>10. Amélioration Continue</t>
  </si>
  <si>
    <t>ID</t>
  </si>
  <si>
    <t>QualAéro: La Qualité dans l'Aéronautique</t>
  </si>
  <si>
    <t>4.4 Système de management de la qualité et ses processus</t>
  </si>
  <si>
    <t>7.1.6 Connaissances organisationnelles</t>
  </si>
  <si>
    <t>8.2.3 Revue des exigences relatives aux produits et services</t>
  </si>
  <si>
    <t>8.2.4 Modifications des exigences relatives aux produits et services</t>
  </si>
  <si>
    <t>8.3.2 Planification de la conception et du développement</t>
  </si>
  <si>
    <t>8.3.3 Éléments d’entrée de la conception et du développement</t>
  </si>
  <si>
    <t>8.3.4 Maîtrise de la conception et du développement</t>
  </si>
  <si>
    <t>8.3.5 Éléments de sortie de la conception et du développement</t>
  </si>
  <si>
    <t>8.3.6 Modifications de la conception et du développement</t>
  </si>
  <si>
    <t>8.4 Maîtrise des processus, produits et services fournis par des prestataires externes</t>
  </si>
  <si>
    <t>8.5.1 Maîtrise de la production et de la prestation de service</t>
  </si>
  <si>
    <t>8.5.2 Identification et traçabilité</t>
  </si>
  <si>
    <t>8.5.3 Propriété des clients ou des prestataires externes</t>
  </si>
  <si>
    <t>8.5.6 Maîtrise des modifications</t>
  </si>
  <si>
    <t>8.7 Maîtrise des éléments de sortie non conformes</t>
  </si>
  <si>
    <t>9.1.2 Satisfaction du client
9.1.3 Analyse et évaluation</t>
  </si>
  <si>
    <t>6.1.2 Actions à mettre en oeuvre face aux risques et opportunités
9.1.3 Analyse et évaluation</t>
  </si>
  <si>
    <t>9.1.3 Analyse et évaluation</t>
  </si>
  <si>
    <t>9.2.2 Audit interne</t>
  </si>
  <si>
    <t>9.3.3 Éléments de sortie de la revue de direction</t>
  </si>
  <si>
    <t>10.2.2 Non-conformité et action corrective</t>
  </si>
  <si>
    <t>Définitions</t>
  </si>
  <si>
    <t>Caractéristique de l'Entreprise</t>
  </si>
  <si>
    <t xml:space="preserve">Ressources </t>
  </si>
  <si>
    <r>
      <rPr>
        <b/>
        <i/>
        <sz val="7"/>
        <color indexed="8"/>
        <rFont val="Arial"/>
        <family val="2"/>
      </rPr>
      <t>Pour en savoir plus,</t>
    </r>
    <r>
      <rPr>
        <i/>
        <sz val="7"/>
        <color indexed="8"/>
        <rFont val="Arial"/>
        <family val="2"/>
      </rPr>
      <t xml:space="preserve"> voir l'étude sur internet : www.utc.fr/master-qualite, puis "Travaux" "Qualité-Management", Réf n°449, Juillet 2018
SMIRANI Meriem "Nouveaux outils pour une dynamique qualité EN 9100 (Aéronautique)". Contact UTC : gilbert.farges@utc.fr</t>
    </r>
    <r>
      <rPr>
        <b/>
        <i/>
        <sz val="7"/>
        <color indexed="8"/>
        <rFont val="Arial"/>
        <family val="2"/>
      </rPr>
      <t xml:space="preserve">
Contacts de l'outil : Meriem SMIRANI : meryam.smirani@gmail.com ;</t>
    </r>
  </si>
  <si>
    <t>Les essais de vérification et de validation</t>
  </si>
  <si>
    <t>Tout texte écrit en gras et en italique spécifie les exigences, les définitions et les notes concernant la norme EN 9100</t>
  </si>
  <si>
    <t>Activités de surveillance et de mesure pour l'acceptation du produit</t>
  </si>
  <si>
    <t>Résultats de la verification des procédés de production</t>
  </si>
  <si>
    <r>
      <t>A faire en manuel</t>
    </r>
    <r>
      <rPr>
        <sz val="7"/>
        <color theme="0"/>
        <rFont val="Arial"/>
        <family val="2"/>
      </rPr>
      <t xml:space="preserve">
N° du choix </t>
    </r>
    <r>
      <rPr>
        <b/>
        <sz val="7"/>
        <color theme="0"/>
        <rFont val="Arial"/>
        <family val="2"/>
      </rPr>
      <t>croissant</t>
    </r>
    <r>
      <rPr>
        <sz val="7"/>
        <color theme="0"/>
        <rFont val="Arial"/>
        <family val="2"/>
      </rPr>
      <t xml:space="preserve"> selon son  Ordre Alphabétique : 1 à …</t>
    </r>
  </si>
  <si>
    <t>Un élément critique pour une entreprise : la marge, la non couverture d’une mission par une commande</t>
  </si>
  <si>
    <t>-Manuel SMI
- RDD / RDP comprenant les parties intéressées et leurs attentes
- FIP des PS et SSP   comprenant les parties intéressées et leurs attentes
- Plan de Management Projet 
- Proposition Technique et Commerciale
- MCE Client</t>
  </si>
  <si>
    <t>- Liste de documents contenant la confidentialité des documents et des enregistrements
- Procédures et guides contenant la liste des documents et des enregistrements associés au processus, les lieux de stockages et les délais de conservations associés
- Liste des documents dans chaque revue de processus
- Réseau métier ou Sharepoint métier
- Enregistrements conformes aux règles définies dans la documentation du processus</t>
  </si>
  <si>
    <t>- Documents SMI conformes aux règles
- Enregistrements conformes aux règles définies dans la documentation des processus
- Réseau métier ou Sharepoint métier</t>
  </si>
  <si>
    <t>- Assurer la cohérence des données des revues de processus, des FIP (Fiche de Processus) et de la liste de documents 
- Intégrer la gestion des risques et des opportunités dans le MAQ (Manuel Qualité), la prise en compte des parties prenantes
- Vérifier que la liste des docs contient les informations documentées avec leur stockage, leur confidentialité....
- S'assurer que les documents sur le réseau, 
- S'assurer des audiences sur les SharePoint / réseaux métiers</t>
  </si>
  <si>
    <t>- Documents SMI conformes aux règles
- Enregistrements conformes aux règles définies dans la documentation des processus
-Réseau métier ou SharePoint métier</t>
  </si>
  <si>
    <t>- Une exigence spéciale (=Exigence ayant un fort risque) pour Airbus par exemple est d’avoir la certification EN 9100. Si tu as une exigence spéciale, tu dois déterminer les caractéristiques clé ou les éléments critiques. 
- Exigences spéciales au sens  de l'entreprise: Marge, expertise, personne clé, capacité, visibilité charge.</t>
  </si>
  <si>
    <r>
      <t xml:space="preserve">Comment avez-vous déterminé vos parties intéressées ? Comment avez-vous défini leur pertinence ?
</t>
    </r>
    <r>
      <rPr>
        <i/>
        <sz val="7"/>
        <rFont val="Arial"/>
        <family val="2"/>
      </rPr>
      <t>Quelles sont vos parties intéressées ?</t>
    </r>
  </si>
  <si>
    <t xml:space="preserve">- LA QUALITÉ DANS L'AERONAUTIQUE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</si>
</sst>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40C]d\ mmmm\ yyyy;@"/>
    <numFmt numFmtId="166" formatCode="0#&quot; &quot;##&quot; &quot;##&quot; &quot;##&quot; &quot;##"/>
  </numFmts>
  <fonts count="117" x14ac:knownFonts="1">
    <font>
      <sz val="11"/>
      <color theme="1"/>
      <name val="Calibri"/>
      <family val="2"/>
      <scheme val="minor"/>
    </font>
    <font>
      <sz val="10"/>
      <name val="Arial"/>
      <family val="2"/>
    </font>
    <font>
      <sz val="8"/>
      <name val="Arial"/>
      <family val="2"/>
    </font>
    <font>
      <sz val="10"/>
      <name val="Arial"/>
      <family val="2"/>
    </font>
    <font>
      <sz val="8"/>
      <name val="Calibri"/>
      <family val="2"/>
    </font>
    <font>
      <sz val="9"/>
      <name val="Calibri"/>
      <family val="3"/>
    </font>
    <font>
      <i/>
      <sz val="8"/>
      <name val="Arial"/>
      <family val="2"/>
    </font>
    <font>
      <b/>
      <sz val="12"/>
      <name val="Arial"/>
      <family val="2"/>
    </font>
    <font>
      <b/>
      <sz val="8"/>
      <color indexed="12"/>
      <name val="Arial"/>
      <family val="2"/>
    </font>
    <font>
      <b/>
      <sz val="10"/>
      <name val="Arial"/>
      <family val="2"/>
    </font>
    <font>
      <b/>
      <sz val="10"/>
      <color indexed="9"/>
      <name val="Arial"/>
      <family val="2"/>
    </font>
    <font>
      <sz val="12"/>
      <name val="Arial"/>
      <family val="2"/>
    </font>
    <font>
      <sz val="11"/>
      <color indexed="8"/>
      <name val="Arial"/>
      <family val="2"/>
    </font>
    <font>
      <b/>
      <sz val="8"/>
      <name val="Arial"/>
      <family val="2"/>
    </font>
    <font>
      <sz val="11"/>
      <color indexed="9"/>
      <name val="Arial"/>
      <family val="2"/>
    </font>
    <font>
      <i/>
      <sz val="10"/>
      <color indexed="12"/>
      <name val="Arial"/>
      <family val="2"/>
    </font>
    <font>
      <sz val="8"/>
      <color indexed="12"/>
      <name val="Arial"/>
      <family val="2"/>
    </font>
    <font>
      <sz val="8"/>
      <color indexed="17"/>
      <name val="Arial"/>
      <family val="2"/>
    </font>
    <font>
      <sz val="8"/>
      <color indexed="8"/>
      <name val="Arial"/>
      <family val="2"/>
    </font>
    <font>
      <sz val="8"/>
      <color indexed="8"/>
      <name val="Arial"/>
      <family val="2"/>
    </font>
    <font>
      <sz val="8"/>
      <color indexed="10"/>
      <name val="Arial"/>
      <family val="2"/>
    </font>
    <font>
      <sz val="8"/>
      <color indexed="56"/>
      <name val="Arial"/>
      <family val="2"/>
    </font>
    <font>
      <b/>
      <sz val="8"/>
      <color indexed="10"/>
      <name val="Arial"/>
      <family val="2"/>
    </font>
    <font>
      <b/>
      <sz val="8"/>
      <color indexed="56"/>
      <name val="Arial"/>
      <family val="2"/>
    </font>
    <font>
      <sz val="8"/>
      <color indexed="81"/>
      <name val="Arial"/>
      <family val="2"/>
    </font>
    <font>
      <b/>
      <sz val="8"/>
      <color indexed="81"/>
      <name val="Arial"/>
      <family val="2"/>
    </font>
    <font>
      <b/>
      <sz val="8"/>
      <color indexed="39"/>
      <name val="Arial"/>
      <family val="2"/>
    </font>
    <font>
      <sz val="8"/>
      <color indexed="39"/>
      <name val="Arial"/>
      <family val="2"/>
    </font>
    <font>
      <i/>
      <sz val="7"/>
      <name val="Arial"/>
      <family val="2"/>
    </font>
    <font>
      <sz val="7"/>
      <color indexed="12"/>
      <name val="Arial"/>
      <family val="2"/>
    </font>
    <font>
      <sz val="7"/>
      <color indexed="8"/>
      <name val="Arial"/>
      <family val="2"/>
    </font>
    <font>
      <b/>
      <sz val="7"/>
      <name val="Arial"/>
      <family val="2"/>
    </font>
    <font>
      <sz val="7"/>
      <name val="Arial"/>
      <family val="2"/>
    </font>
    <font>
      <b/>
      <sz val="7"/>
      <color indexed="12"/>
      <name val="Arial"/>
      <family val="2"/>
    </font>
    <font>
      <i/>
      <sz val="8"/>
      <color indexed="12"/>
      <name val="Arial"/>
      <family val="2"/>
    </font>
    <font>
      <sz val="12"/>
      <color indexed="8"/>
      <name val="Arial"/>
      <family val="2"/>
    </font>
    <font>
      <sz val="11"/>
      <color indexed="8"/>
      <name val="Arial"/>
      <family val="2"/>
    </font>
    <font>
      <sz val="8"/>
      <color indexed="8"/>
      <name val="Arial"/>
      <family val="2"/>
    </font>
    <font>
      <b/>
      <sz val="8"/>
      <color indexed="56"/>
      <name val="Arial"/>
      <family val="2"/>
    </font>
    <font>
      <sz val="8"/>
      <color indexed="39"/>
      <name val="Arial"/>
      <family val="2"/>
    </font>
    <font>
      <b/>
      <sz val="12"/>
      <color indexed="9"/>
      <name val="Arial"/>
      <family val="2"/>
    </font>
    <font>
      <b/>
      <sz val="8"/>
      <color indexed="60"/>
      <name val="Arial"/>
      <family val="2"/>
    </font>
    <font>
      <b/>
      <sz val="8"/>
      <color indexed="16"/>
      <name val="Arial"/>
      <family val="2"/>
    </font>
    <font>
      <b/>
      <sz val="8"/>
      <color indexed="39"/>
      <name val="Arial"/>
      <family val="2"/>
    </font>
    <font>
      <sz val="8"/>
      <color indexed="56"/>
      <name val="Arial"/>
      <family val="2"/>
    </font>
    <font>
      <b/>
      <sz val="14"/>
      <color indexed="9"/>
      <name val="Arial"/>
      <family val="2"/>
    </font>
    <font>
      <sz val="7.5"/>
      <name val="Arial"/>
      <family val="2"/>
    </font>
    <font>
      <sz val="10"/>
      <color indexed="9"/>
      <name val="Arial"/>
      <family val="2"/>
    </font>
    <font>
      <sz val="8"/>
      <name val="Calibri"/>
      <family val="2"/>
    </font>
    <font>
      <b/>
      <sz val="7.5"/>
      <name val="Arial"/>
      <family val="2"/>
    </font>
    <font>
      <sz val="12"/>
      <color theme="1"/>
      <name val="Calibri"/>
      <family val="2"/>
      <scheme val="minor"/>
    </font>
    <font>
      <u/>
      <sz val="11"/>
      <color theme="10"/>
      <name val="Calibri"/>
      <family val="2"/>
      <scheme val="minor"/>
    </font>
    <font>
      <sz val="8"/>
      <color rgb="FF0000FF"/>
      <name val="Arial"/>
      <family val="2"/>
    </font>
    <font>
      <sz val="8"/>
      <color theme="0"/>
      <name val="Arial"/>
      <family val="2"/>
    </font>
    <font>
      <sz val="12"/>
      <color theme="0"/>
      <name val="Arial"/>
      <family val="2"/>
    </font>
    <font>
      <sz val="8"/>
      <color rgb="FFFF0000"/>
      <name val="Arial"/>
      <family val="2"/>
    </font>
    <font>
      <b/>
      <sz val="11"/>
      <color theme="1"/>
      <name val="Calibri"/>
      <family val="2"/>
      <scheme val="minor"/>
    </font>
    <font>
      <b/>
      <sz val="8"/>
      <color theme="0"/>
      <name val="Arial"/>
      <family val="2"/>
    </font>
    <font>
      <sz val="7"/>
      <color rgb="FFFF0000"/>
      <name val="Arial"/>
      <family val="2"/>
    </font>
    <font>
      <b/>
      <sz val="7"/>
      <color theme="0"/>
      <name val="Arial"/>
      <family val="2"/>
    </font>
    <font>
      <sz val="8"/>
      <color rgb="FF000000"/>
      <name val="Segoe UI"/>
      <family val="2"/>
    </font>
    <font>
      <sz val="12"/>
      <color rgb="FFFF0000"/>
      <name val="Arial"/>
      <family val="2"/>
    </font>
    <font>
      <sz val="8"/>
      <color rgb="FF000000"/>
      <name val="Arial"/>
      <family val="2"/>
    </font>
    <font>
      <sz val="7.5"/>
      <color theme="1"/>
      <name val="Arial"/>
      <family val="2"/>
    </font>
    <font>
      <sz val="9"/>
      <color theme="1"/>
      <name val="Arial"/>
      <family val="2"/>
    </font>
    <font>
      <sz val="11"/>
      <color theme="1"/>
      <name val="Calibri"/>
      <family val="2"/>
      <scheme val="minor"/>
    </font>
    <font>
      <b/>
      <sz val="12"/>
      <color theme="0"/>
      <name val="Arial"/>
      <family val="2"/>
    </font>
    <font>
      <sz val="11"/>
      <color theme="0"/>
      <name val="Arial"/>
      <family val="2"/>
    </font>
    <font>
      <sz val="11"/>
      <name val="Calibri"/>
      <family val="2"/>
      <scheme val="minor"/>
    </font>
    <font>
      <i/>
      <sz val="7"/>
      <color indexed="8"/>
      <name val="Arial"/>
      <family val="2"/>
    </font>
    <font>
      <b/>
      <i/>
      <sz val="7"/>
      <color indexed="8"/>
      <name val="Arial"/>
      <family val="2"/>
    </font>
    <font>
      <sz val="8"/>
      <color theme="1"/>
      <name val="Arial"/>
      <family val="2"/>
    </font>
    <font>
      <b/>
      <u/>
      <sz val="7"/>
      <name val="Arial"/>
      <family val="2"/>
    </font>
    <font>
      <b/>
      <sz val="14"/>
      <name val="Arial"/>
      <family val="2"/>
    </font>
    <font>
      <sz val="7"/>
      <color theme="1"/>
      <name val="Arial"/>
      <family val="2"/>
    </font>
    <font>
      <i/>
      <sz val="10"/>
      <name val="Arial"/>
      <family val="2"/>
    </font>
    <font>
      <sz val="9"/>
      <color indexed="81"/>
      <name val="Segoe UI"/>
      <family val="2"/>
    </font>
    <font>
      <b/>
      <sz val="9"/>
      <color indexed="81"/>
      <name val="Segoe UI"/>
      <family val="2"/>
    </font>
    <font>
      <b/>
      <sz val="8"/>
      <color theme="3" tint="-0.249977111117893"/>
      <name val="Arial"/>
      <family val="2"/>
    </font>
    <font>
      <b/>
      <u/>
      <sz val="9"/>
      <color theme="3" tint="-0.249977111117893"/>
      <name val="Arial"/>
      <family val="2"/>
    </font>
    <font>
      <b/>
      <sz val="8"/>
      <color rgb="FFFF0000"/>
      <name val="Arial"/>
      <family val="2"/>
    </font>
    <font>
      <sz val="11"/>
      <color rgb="FFFF0000"/>
      <name val="Calibri"/>
      <family val="2"/>
      <scheme val="minor"/>
    </font>
    <font>
      <b/>
      <sz val="11"/>
      <color rgb="FFFF0000"/>
      <name val="Calibri"/>
      <family val="2"/>
      <scheme val="minor"/>
    </font>
    <font>
      <b/>
      <sz val="10"/>
      <color theme="3" tint="-0.249977111117893"/>
      <name val="Arial"/>
      <family val="2"/>
    </font>
    <font>
      <sz val="11"/>
      <color rgb="FFFF0000"/>
      <name val="Arial"/>
      <family val="2"/>
    </font>
    <font>
      <b/>
      <sz val="12"/>
      <color rgb="FFFFFFFF"/>
      <name val="Calibri"/>
      <family val="2"/>
    </font>
    <font>
      <sz val="11"/>
      <color theme="1"/>
      <name val="Arial"/>
      <family val="2"/>
    </font>
    <font>
      <b/>
      <sz val="10"/>
      <color theme="1"/>
      <name val="Calibri"/>
      <family val="2"/>
      <scheme val="minor"/>
    </font>
    <font>
      <sz val="10"/>
      <color theme="1"/>
      <name val="Calibri"/>
      <family val="2"/>
      <scheme val="minor"/>
    </font>
    <font>
      <u/>
      <sz val="10"/>
      <color theme="10"/>
      <name val="Calibri"/>
      <family val="2"/>
      <scheme val="minor"/>
    </font>
    <font>
      <i/>
      <sz val="9"/>
      <color theme="1"/>
      <name val="Calibri"/>
      <family val="2"/>
      <scheme val="minor"/>
    </font>
    <font>
      <sz val="10"/>
      <color theme="1"/>
      <name val="Arial"/>
      <family val="2"/>
    </font>
    <font>
      <sz val="8"/>
      <color theme="0" tint="-0.34998626667073579"/>
      <name val="Calibri"/>
      <family val="2"/>
      <scheme val="minor"/>
    </font>
    <font>
      <b/>
      <sz val="8"/>
      <color indexed="8"/>
      <name val="Arial"/>
      <family val="2"/>
    </font>
    <font>
      <b/>
      <sz val="10"/>
      <color theme="0"/>
      <name val="Arial"/>
      <family val="2"/>
    </font>
    <font>
      <b/>
      <i/>
      <sz val="7"/>
      <name val="Arial"/>
      <family val="2"/>
    </font>
    <font>
      <sz val="8"/>
      <color theme="1"/>
      <name val="Calibri"/>
      <family val="2"/>
      <scheme val="minor"/>
    </font>
    <font>
      <sz val="12"/>
      <color theme="1"/>
      <name val="Arial"/>
      <family val="2"/>
    </font>
    <font>
      <b/>
      <i/>
      <sz val="9"/>
      <color theme="1"/>
      <name val="Century Schoolbook"/>
      <family val="1"/>
    </font>
    <font>
      <sz val="9"/>
      <color indexed="81"/>
      <name val="Tahoma"/>
      <family val="2"/>
    </font>
    <font>
      <b/>
      <sz val="9"/>
      <color indexed="81"/>
      <name val="Tahoma"/>
      <family val="2"/>
    </font>
    <font>
      <sz val="7"/>
      <color rgb="FF00B050"/>
      <name val="Arial"/>
      <family val="2"/>
    </font>
    <font>
      <b/>
      <sz val="7"/>
      <color rgb="FF00B050"/>
      <name val="Arial"/>
      <family val="2"/>
    </font>
    <font>
      <sz val="10"/>
      <color theme="0" tint="-0.249977111117893"/>
      <name val="Arial"/>
      <family val="2"/>
    </font>
    <font>
      <b/>
      <i/>
      <sz val="18"/>
      <color theme="7" tint="-0.249977111117893"/>
      <name val="Arial"/>
      <family val="2"/>
    </font>
    <font>
      <b/>
      <i/>
      <sz val="12"/>
      <color theme="3"/>
      <name val="Arial"/>
      <family val="2"/>
    </font>
    <font>
      <sz val="10"/>
      <name val="Calibri"/>
      <family val="2"/>
      <scheme val="minor"/>
    </font>
    <font>
      <b/>
      <i/>
      <sz val="8"/>
      <name val="Calibri"/>
      <family val="2"/>
      <scheme val="minor"/>
    </font>
    <font>
      <b/>
      <i/>
      <sz val="8"/>
      <color theme="1"/>
      <name val="Calibri"/>
      <family val="2"/>
      <scheme val="minor"/>
    </font>
    <font>
      <b/>
      <i/>
      <sz val="8"/>
      <name val="Arial"/>
      <family val="2"/>
    </font>
    <font>
      <b/>
      <i/>
      <sz val="10"/>
      <name val="Arial"/>
      <family val="2"/>
    </font>
    <font>
      <b/>
      <sz val="11"/>
      <color theme="0"/>
      <name val="Calibri"/>
      <family val="2"/>
      <scheme val="minor"/>
    </font>
    <font>
      <sz val="11"/>
      <color theme="0"/>
      <name val="Calibri"/>
      <family val="2"/>
      <scheme val="minor"/>
    </font>
    <font>
      <sz val="7"/>
      <color theme="0"/>
      <name val="Arial"/>
      <family val="2"/>
    </font>
    <font>
      <sz val="7"/>
      <color theme="0"/>
      <name val="Calibri"/>
      <family val="2"/>
      <scheme val="minor"/>
    </font>
    <font>
      <sz val="6"/>
      <color theme="0"/>
      <name val="Calibri"/>
      <family val="2"/>
      <scheme val="minor"/>
    </font>
    <font>
      <sz val="6"/>
      <color theme="0"/>
      <name val="Arial"/>
      <family val="2"/>
    </font>
  </fonts>
  <fills count="34">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theme="0" tint="-4.9989318521683403E-2"/>
        <bgColor indexed="8"/>
      </patternFill>
    </fill>
    <fill>
      <patternFill patternType="solid">
        <fgColor theme="0" tint="-4.9989318521683403E-2"/>
        <bgColor indexed="64"/>
      </patternFill>
    </fill>
    <fill>
      <patternFill patternType="solid">
        <fgColor theme="0"/>
        <bgColor indexed="8"/>
      </patternFill>
    </fill>
    <fill>
      <patternFill patternType="solid">
        <fgColor rgb="FFFFF3F3"/>
        <bgColor indexed="64"/>
      </patternFill>
    </fill>
    <fill>
      <patternFill patternType="solid">
        <fgColor rgb="FFD49FDD"/>
        <bgColor indexed="64"/>
      </patternFill>
    </fill>
    <fill>
      <patternFill patternType="solid">
        <fgColor rgb="FFD49FDD"/>
        <bgColor indexed="8"/>
      </patternFill>
    </fill>
    <fill>
      <patternFill patternType="solid">
        <fgColor rgb="FFEFFF53"/>
        <bgColor indexed="64"/>
      </patternFill>
    </fill>
    <fill>
      <patternFill patternType="solid">
        <fgColor rgb="FFC2E2EC"/>
        <bgColor indexed="64"/>
      </patternFill>
    </fill>
    <fill>
      <patternFill patternType="solid">
        <fgColor rgb="FFC2E2EC"/>
        <bgColor indexed="8"/>
      </patternFill>
    </fill>
    <fill>
      <patternFill patternType="solid">
        <fgColor theme="4" tint="0.7999816888943144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8"/>
      </patternFill>
    </fill>
    <fill>
      <patternFill patternType="solid">
        <fgColor theme="3" tint="0.59999389629810485"/>
        <bgColor indexed="8"/>
      </patternFill>
    </fill>
    <fill>
      <patternFill patternType="solid">
        <fgColor theme="3" tint="-0.249977111117893"/>
        <bgColor indexed="8"/>
      </patternFill>
    </fill>
    <fill>
      <patternFill patternType="solid">
        <fgColor theme="5" tint="0.59999389629810485"/>
        <bgColor indexed="64"/>
      </patternFill>
    </fill>
    <fill>
      <patternFill patternType="solid">
        <fgColor theme="5" tint="0.59999389629810485"/>
        <bgColor indexed="8"/>
      </patternFill>
    </fill>
    <fill>
      <patternFill patternType="solid">
        <fgColor theme="5" tint="0.79998168889431442"/>
        <bgColor indexed="64"/>
      </patternFill>
    </fill>
    <fill>
      <patternFill patternType="solid">
        <fgColor theme="5" tint="0.79998168889431442"/>
        <bgColor indexed="8"/>
      </patternFill>
    </fill>
    <fill>
      <patternFill patternType="solid">
        <fgColor rgb="FFF2F2F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59999389629810485"/>
        <bgColor indexed="8"/>
      </patternFill>
    </fill>
    <fill>
      <patternFill patternType="solid">
        <fgColor theme="9" tint="0.59999389629810485"/>
        <bgColor indexed="64"/>
      </patternFill>
    </fill>
    <fill>
      <patternFill patternType="solid">
        <fgColor theme="6" tint="0.59999389629810485"/>
        <bgColor indexed="8"/>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3" tint="0.79998168889431442"/>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23"/>
      </left>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55"/>
      </left>
      <right/>
      <top/>
      <bottom/>
      <diagonal/>
    </border>
    <border>
      <left/>
      <right style="thin">
        <color indexed="55"/>
      </right>
      <top/>
      <bottom/>
      <diagonal/>
    </border>
    <border>
      <left style="thin">
        <color indexed="55"/>
      </left>
      <right/>
      <top style="thin">
        <color indexed="55"/>
      </top>
      <bottom/>
      <diagonal/>
    </border>
    <border>
      <left/>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right style="thin">
        <color indexed="55"/>
      </right>
      <top style="thin">
        <color indexed="55"/>
      </top>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n">
        <color indexed="23"/>
      </bottom>
      <diagonal/>
    </border>
    <border>
      <left style="thin">
        <color indexed="55"/>
      </left>
      <right style="thin">
        <color indexed="23"/>
      </right>
      <top style="thin">
        <color indexed="23"/>
      </top>
      <bottom style="thin">
        <color indexed="23"/>
      </bottom>
      <diagonal/>
    </border>
    <border>
      <left style="thin">
        <color indexed="23"/>
      </left>
      <right style="thin">
        <color indexed="55"/>
      </right>
      <top style="thin">
        <color indexed="23"/>
      </top>
      <bottom style="thin">
        <color indexed="23"/>
      </bottom>
      <diagonal/>
    </border>
    <border>
      <left/>
      <right style="thin">
        <color indexed="23"/>
      </right>
      <top/>
      <bottom style="thin">
        <color indexed="55"/>
      </bottom>
      <diagonal/>
    </border>
    <border>
      <left/>
      <right style="thin">
        <color indexed="23"/>
      </right>
      <top/>
      <bottom style="thin">
        <color indexed="23"/>
      </bottom>
      <diagonal/>
    </border>
    <border>
      <left/>
      <right style="thin">
        <color indexed="23"/>
      </right>
      <top/>
      <bottom/>
      <diagonal/>
    </border>
    <border>
      <left style="thin">
        <color indexed="55"/>
      </left>
      <right/>
      <top style="thin">
        <color indexed="23"/>
      </top>
      <bottom/>
      <diagonal/>
    </border>
    <border>
      <left style="thin">
        <color indexed="55"/>
      </left>
      <right/>
      <top/>
      <bottom style="thin">
        <color indexed="23"/>
      </bottom>
      <diagonal/>
    </border>
    <border>
      <left style="thin">
        <color indexed="23"/>
      </left>
      <right/>
      <top style="thin">
        <color indexed="55"/>
      </top>
      <bottom style="thin">
        <color indexed="23"/>
      </bottom>
      <diagonal/>
    </border>
    <border>
      <left/>
      <right/>
      <top style="thin">
        <color indexed="55"/>
      </top>
      <bottom style="thin">
        <color indexed="2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indexed="23"/>
      </left>
      <right/>
      <top style="thin">
        <color indexed="55"/>
      </top>
      <bottom/>
      <diagonal/>
    </border>
    <border>
      <left/>
      <right style="thin">
        <color indexed="23"/>
      </right>
      <top style="thin">
        <color indexed="55"/>
      </top>
      <bottom/>
      <diagonal/>
    </border>
    <border>
      <left/>
      <right style="thin">
        <color indexed="55"/>
      </right>
      <top/>
      <bottom style="thin">
        <color indexed="23"/>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style="thin">
        <color indexed="23"/>
      </bottom>
      <diagonal/>
    </border>
    <border>
      <left/>
      <right/>
      <top style="thin">
        <color indexed="55"/>
      </top>
      <bottom style="thin">
        <color indexed="23"/>
      </bottom>
      <diagonal/>
    </border>
    <border>
      <left/>
      <right style="thin">
        <color indexed="55"/>
      </right>
      <top style="thin">
        <color indexed="55"/>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55"/>
      </bottom>
      <diagonal/>
    </border>
    <border>
      <left style="thin">
        <color indexed="23"/>
      </left>
      <right/>
      <top style="thin">
        <color indexed="23"/>
      </top>
      <bottom style="thin">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bottom style="thin">
        <color indexed="55"/>
      </bottom>
      <diagonal/>
    </border>
    <border>
      <left/>
      <right/>
      <top style="thin">
        <color indexed="64"/>
      </top>
      <bottom style="thin">
        <color indexed="23"/>
      </bottom>
      <diagonal/>
    </border>
    <border>
      <left style="thin">
        <color indexed="23"/>
      </left>
      <right/>
      <top style="thin">
        <color indexed="64"/>
      </top>
      <bottom/>
      <diagonal/>
    </border>
    <border>
      <left style="thin">
        <color indexed="64"/>
      </left>
      <right/>
      <top style="thin">
        <color indexed="64"/>
      </top>
      <bottom style="thin">
        <color indexed="23"/>
      </bottom>
      <diagonal/>
    </border>
    <border>
      <left/>
      <right style="thin">
        <color indexed="23"/>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top style="thin">
        <color indexed="23"/>
      </top>
      <bottom style="thin">
        <color indexed="23"/>
      </bottom>
      <diagonal/>
    </border>
    <border>
      <left/>
      <right style="thin">
        <color indexed="64"/>
      </right>
      <top style="thin">
        <color indexed="64"/>
      </top>
      <bottom style="thin">
        <color indexed="23"/>
      </bottom>
      <diagonal/>
    </border>
    <border>
      <left style="double">
        <color indexed="23"/>
      </left>
      <right/>
      <top style="thin">
        <color indexed="64"/>
      </top>
      <bottom style="thin">
        <color indexed="23"/>
      </bottom>
      <diagonal/>
    </border>
    <border>
      <left style="double">
        <color indexed="23"/>
      </left>
      <right style="thin">
        <color indexed="23"/>
      </right>
      <top style="thin">
        <color indexed="23"/>
      </top>
      <bottom style="thin">
        <color indexed="23"/>
      </bottom>
      <diagonal/>
    </border>
    <border>
      <left style="thin">
        <color indexed="55"/>
      </left>
      <right style="thin">
        <color indexed="23"/>
      </right>
      <top style="thin">
        <color indexed="55"/>
      </top>
      <bottom/>
      <diagonal/>
    </border>
    <border>
      <left style="thin">
        <color indexed="23"/>
      </left>
      <right style="thin">
        <color indexed="23"/>
      </right>
      <top style="thin">
        <color indexed="55"/>
      </top>
      <bottom/>
      <diagonal/>
    </border>
    <border>
      <left style="thin">
        <color indexed="23"/>
      </left>
      <right style="thin">
        <color indexed="55"/>
      </right>
      <top style="thin">
        <color indexed="55"/>
      </top>
      <bottom/>
      <diagonal/>
    </border>
    <border>
      <left style="thin">
        <color indexed="55"/>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55"/>
      </right>
      <top/>
      <bottom style="thin">
        <color indexed="23"/>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indexed="55"/>
      </left>
      <right style="thin">
        <color indexed="23"/>
      </right>
      <top style="thin">
        <color indexed="23"/>
      </top>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right style="double">
        <color indexed="23"/>
      </right>
      <top style="thin">
        <color indexed="64"/>
      </top>
      <bottom style="thin">
        <color indexed="23"/>
      </bottom>
      <diagonal/>
    </border>
    <border>
      <left/>
      <right/>
      <top style="thin">
        <color indexed="23"/>
      </top>
      <bottom style="thin">
        <color indexed="23"/>
      </bottom>
      <diagonal/>
    </border>
    <border>
      <left style="thin">
        <color indexed="23"/>
      </left>
      <right/>
      <top style="thin">
        <color indexed="55"/>
      </top>
      <bottom style="thin">
        <color theme="7" tint="-0.24994659260841701"/>
      </bottom>
      <diagonal/>
    </border>
    <border>
      <left/>
      <right style="thin">
        <color indexed="23"/>
      </right>
      <top style="thin">
        <color indexed="55"/>
      </top>
      <bottom style="thin">
        <color theme="7" tint="-0.24994659260841701"/>
      </bottom>
      <diagonal/>
    </border>
    <border>
      <left style="thin">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right/>
      <top style="thin">
        <color indexed="55"/>
      </top>
      <bottom style="thin">
        <color theme="7" tint="-0.24994659260841701"/>
      </bottom>
      <diagonal/>
    </border>
    <border>
      <left style="medium">
        <color rgb="FFFFFFFF"/>
      </left>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indexed="23"/>
      </left>
      <right style="thin">
        <color indexed="23"/>
      </right>
      <top/>
      <bottom/>
      <diagonal/>
    </border>
    <border>
      <left style="thin">
        <color indexed="23"/>
      </left>
      <right style="thin">
        <color indexed="23"/>
      </right>
      <top style="thin">
        <color indexed="23"/>
      </top>
      <bottom style="thin">
        <color theme="7" tint="-0.24994659260841701"/>
      </bottom>
      <diagonal/>
    </border>
    <border>
      <left style="thin">
        <color indexed="55"/>
      </left>
      <right/>
      <top style="thin">
        <color indexed="55"/>
      </top>
      <bottom style="thin">
        <color theme="7" tint="-0.24994659260841701"/>
      </bottom>
      <diagonal/>
    </border>
    <border>
      <left style="thin">
        <color indexed="55"/>
      </left>
      <right style="thin">
        <color indexed="23"/>
      </right>
      <top style="thin">
        <color indexed="55"/>
      </top>
      <bottom style="thin">
        <color theme="7" tint="-0.24994659260841701"/>
      </bottom>
      <diagonal/>
    </border>
    <border>
      <left style="thin">
        <color indexed="55"/>
      </left>
      <right style="thin">
        <color indexed="23"/>
      </right>
      <top style="thin">
        <color theme="7" tint="-0.24994659260841701"/>
      </top>
      <bottom style="thin">
        <color indexed="23"/>
      </bottom>
      <diagonal/>
    </border>
    <border>
      <left/>
      <right style="thin">
        <color indexed="55"/>
      </right>
      <top style="thin">
        <color indexed="55"/>
      </top>
      <bottom style="thin">
        <color theme="7" tint="-0.24994659260841701"/>
      </bottom>
      <diagonal/>
    </border>
    <border>
      <left style="thin">
        <color indexed="23"/>
      </left>
      <right style="thin">
        <color indexed="23"/>
      </right>
      <top style="thin">
        <color theme="7" tint="-0.24994659260841701"/>
      </top>
      <bottom/>
      <diagonal/>
    </border>
    <border>
      <left style="thin">
        <color indexed="23"/>
      </left>
      <right style="thin">
        <color indexed="23"/>
      </right>
      <top/>
      <bottom style="thin">
        <color theme="7" tint="-0.24994659260841701"/>
      </bottom>
      <diagonal/>
    </border>
    <border>
      <left style="thin">
        <color indexed="23"/>
      </left>
      <right style="thin">
        <color indexed="23"/>
      </right>
      <top/>
      <bottom style="thin">
        <color indexed="55"/>
      </bottom>
      <diagonal/>
    </border>
    <border>
      <left style="thin">
        <color indexed="55"/>
      </left>
      <right style="thin">
        <color indexed="23"/>
      </right>
      <top style="thin">
        <color indexed="55"/>
      </top>
      <bottom style="thin">
        <color indexed="23"/>
      </bottom>
      <diagonal/>
    </border>
    <border>
      <left style="thin">
        <color indexed="55"/>
      </left>
      <right style="thin">
        <color indexed="23"/>
      </right>
      <top style="thin">
        <color indexed="55"/>
      </top>
      <bottom style="thin">
        <color indexed="55"/>
      </bottom>
      <diagonal/>
    </border>
    <border>
      <left style="thin">
        <color indexed="55"/>
      </left>
      <right style="thin">
        <color indexed="23"/>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indexed="64"/>
      </left>
      <right/>
      <top style="thin">
        <color theme="0" tint="-0.34998626667073579"/>
      </top>
      <bottom style="thin">
        <color theme="0" tint="-0.34998626667073579"/>
      </bottom>
      <diagonal/>
    </border>
    <border>
      <left/>
      <right style="medium">
        <color indexed="64"/>
      </right>
      <top/>
      <bottom style="medium">
        <color indexed="64"/>
      </bottom>
      <diagonal/>
    </border>
    <border>
      <left style="thin">
        <color indexed="55"/>
      </left>
      <right style="thin">
        <color indexed="23"/>
      </right>
      <top/>
      <bottom style="thin">
        <color indexed="55"/>
      </bottom>
      <diagonal/>
    </border>
    <border>
      <left style="thin">
        <color indexed="23"/>
      </left>
      <right/>
      <top/>
      <bottom style="thin">
        <color indexed="55"/>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55"/>
      </left>
      <right style="thin">
        <color indexed="23"/>
      </right>
      <top style="thin">
        <color indexed="23"/>
      </top>
      <bottom style="thin">
        <color indexed="55"/>
      </bottom>
      <diagonal/>
    </border>
  </borders>
  <cellStyleXfs count="8">
    <xf numFmtId="0" fontId="0" fillId="0" borderId="0"/>
    <xf numFmtId="0" fontId="51" fillId="0" borderId="0" applyNumberFormat="0" applyFill="0" applyBorder="0" applyAlignment="0" applyProtection="0"/>
    <xf numFmtId="0" fontId="1" fillId="0" borderId="0"/>
    <xf numFmtId="0" fontId="3" fillId="0" borderId="0"/>
    <xf numFmtId="0" fontId="50" fillId="0" borderId="0"/>
    <xf numFmtId="0" fontId="1" fillId="0" borderId="0"/>
    <xf numFmtId="164" fontId="65" fillId="0" borderId="0" applyFont="0" applyFill="0" applyBorder="0" applyAlignment="0" applyProtection="0"/>
    <xf numFmtId="9" fontId="65" fillId="0" borderId="0" applyFont="0" applyFill="0" applyBorder="0" applyAlignment="0" applyProtection="0"/>
  </cellStyleXfs>
  <cellXfs count="770">
    <xf numFmtId="0" fontId="0" fillId="0" borderId="0" xfId="0"/>
    <xf numFmtId="0" fontId="29" fillId="2" borderId="1" xfId="0" applyFont="1" applyFill="1" applyBorder="1" applyAlignment="1" applyProtection="1">
      <alignment horizontal="center" vertical="center" wrapText="1"/>
      <protection locked="0"/>
    </xf>
    <xf numFmtId="9" fontId="16" fillId="3" borderId="0" xfId="0" applyNumberFormat="1"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protection locked="0"/>
    </xf>
    <xf numFmtId="0" fontId="49" fillId="6" borderId="1" xfId="2" applyFont="1" applyFill="1" applyBorder="1" applyAlignment="1" applyProtection="1">
      <alignment horizontal="center" vertical="center" wrapText="1"/>
    </xf>
    <xf numFmtId="0" fontId="46" fillId="6" borderId="1" xfId="2" applyFont="1" applyFill="1" applyBorder="1" applyAlignment="1" applyProtection="1">
      <alignment horizontal="center" vertical="center" wrapText="1"/>
    </xf>
    <xf numFmtId="9" fontId="13" fillId="6" borderId="1" xfId="2" applyNumberFormat="1" applyFont="1" applyFill="1" applyBorder="1" applyAlignment="1" applyProtection="1">
      <alignment horizontal="center" vertical="center"/>
    </xf>
    <xf numFmtId="49" fontId="38" fillId="6" borderId="1" xfId="2" applyNumberFormat="1" applyFont="1" applyFill="1" applyBorder="1" applyAlignment="1" applyProtection="1">
      <alignment horizontal="center" vertical="center" wrapText="1"/>
    </xf>
    <xf numFmtId="49" fontId="23" fillId="6" borderId="1" xfId="2" applyNumberFormat="1" applyFont="1" applyFill="1" applyBorder="1" applyAlignment="1" applyProtection="1">
      <alignment horizontal="center" vertical="center" wrapText="1"/>
    </xf>
    <xf numFmtId="0" fontId="46" fillId="6" borderId="45" xfId="2" applyFont="1" applyFill="1" applyBorder="1" applyAlignment="1" applyProtection="1">
      <alignment horizontal="center" vertical="center" wrapText="1"/>
    </xf>
    <xf numFmtId="9" fontId="38" fillId="6" borderId="45" xfId="2" applyNumberFormat="1" applyFont="1" applyFill="1" applyBorder="1" applyAlignment="1" applyProtection="1">
      <alignment horizontal="center" vertical="center"/>
    </xf>
    <xf numFmtId="0" fontId="49" fillId="6" borderId="60" xfId="2" applyFont="1" applyFill="1" applyBorder="1" applyAlignment="1" applyProtection="1">
      <alignment horizontal="center" vertical="center" wrapText="1"/>
    </xf>
    <xf numFmtId="9" fontId="38" fillId="6" borderId="60" xfId="2" applyNumberFormat="1" applyFont="1" applyFill="1" applyBorder="1" applyAlignment="1" applyProtection="1">
      <alignment horizontal="center" vertical="center"/>
    </xf>
    <xf numFmtId="9" fontId="43" fillId="4" borderId="60" xfId="2" applyNumberFormat="1" applyFont="1" applyFill="1" applyBorder="1" applyAlignment="1" applyProtection="1">
      <alignment horizontal="center" vertical="center"/>
      <protection locked="0"/>
    </xf>
    <xf numFmtId="0" fontId="68" fillId="2" borderId="0" xfId="0" applyFont="1" applyFill="1"/>
    <xf numFmtId="0" fontId="0" fillId="4" borderId="0" xfId="0" applyFill="1"/>
    <xf numFmtId="0" fontId="71" fillId="4" borderId="0" xfId="0" applyFont="1" applyFill="1"/>
    <xf numFmtId="0" fontId="0" fillId="4" borderId="0" xfId="0" applyFill="1" applyAlignment="1">
      <alignment horizontal="left"/>
    </xf>
    <xf numFmtId="0" fontId="68" fillId="4" borderId="0" xfId="0" applyFont="1" applyFill="1"/>
    <xf numFmtId="0" fontId="62" fillId="0" borderId="0" xfId="0" applyFont="1" applyProtection="1"/>
    <xf numFmtId="0" fontId="6" fillId="2" borderId="0" xfId="2" applyFont="1" applyFill="1" applyBorder="1" applyAlignment="1" applyProtection="1">
      <alignment vertical="top"/>
    </xf>
    <xf numFmtId="0" fontId="6" fillId="2" borderId="0" xfId="2" applyFont="1" applyFill="1" applyBorder="1" applyAlignment="1" applyProtection="1">
      <alignment horizontal="center" vertical="top"/>
    </xf>
    <xf numFmtId="0" fontId="6" fillId="2" borderId="0" xfId="2" applyFont="1" applyFill="1" applyBorder="1" applyAlignment="1" applyProtection="1">
      <alignment horizontal="right" vertical="top"/>
    </xf>
    <xf numFmtId="14" fontId="6" fillId="2" borderId="0" xfId="2" applyNumberFormat="1" applyFont="1" applyFill="1" applyBorder="1" applyAlignment="1" applyProtection="1">
      <alignment horizontal="right" vertical="center"/>
    </xf>
    <xf numFmtId="0" fontId="18" fillId="2" borderId="0" xfId="0" applyFont="1" applyFill="1" applyProtection="1"/>
    <xf numFmtId="14" fontId="2" fillId="2" borderId="0" xfId="2" applyNumberFormat="1" applyFont="1" applyFill="1" applyBorder="1" applyAlignment="1" applyProtection="1">
      <alignment horizontal="right" vertical="top"/>
    </xf>
    <xf numFmtId="0" fontId="55" fillId="4" borderId="0" xfId="0" applyFont="1" applyFill="1" applyProtection="1"/>
    <xf numFmtId="0" fontId="55" fillId="6" borderId="0" xfId="0" applyFont="1" applyFill="1" applyProtection="1"/>
    <xf numFmtId="0" fontId="53" fillId="0" borderId="0" xfId="0" applyFont="1" applyFill="1" applyProtection="1"/>
    <xf numFmtId="0" fontId="18" fillId="2" borderId="0" xfId="0" applyFont="1" applyFill="1" applyAlignment="1" applyProtection="1">
      <alignment vertical="center"/>
    </xf>
    <xf numFmtId="0" fontId="37" fillId="2" borderId="0" xfId="0" applyFont="1" applyFill="1" applyProtection="1"/>
    <xf numFmtId="0" fontId="2" fillId="2" borderId="0" xfId="2" applyFont="1" applyFill="1" applyBorder="1" applyAlignment="1" applyProtection="1">
      <alignment horizontal="left" vertical="center"/>
    </xf>
    <xf numFmtId="49" fontId="16" fillId="3" borderId="0" xfId="2" applyNumberFormat="1" applyFont="1" applyFill="1" applyBorder="1" applyAlignment="1" applyProtection="1">
      <alignment horizontal="left" vertical="center"/>
    </xf>
    <xf numFmtId="49" fontId="16" fillId="2" borderId="0" xfId="2" applyNumberFormat="1" applyFont="1" applyFill="1" applyBorder="1" applyAlignment="1" applyProtection="1">
      <alignment horizontal="left" vertical="center"/>
    </xf>
    <xf numFmtId="0" fontId="37" fillId="0" borderId="0" xfId="0" applyFont="1" applyProtection="1"/>
    <xf numFmtId="0" fontId="6" fillId="2" borderId="0" xfId="0" applyFont="1" applyFill="1" applyBorder="1" applyAlignment="1" applyProtection="1">
      <alignment horizontal="center" vertical="center"/>
    </xf>
    <xf numFmtId="14" fontId="46" fillId="2" borderId="0" xfId="2" applyNumberFormat="1" applyFont="1" applyFill="1" applyBorder="1" applyAlignment="1" applyProtection="1">
      <alignment horizontal="right" vertical="center"/>
    </xf>
    <xf numFmtId="0" fontId="0" fillId="0" borderId="0" xfId="0" applyProtection="1"/>
    <xf numFmtId="0" fontId="74" fillId="6" borderId="0" xfId="0" applyFont="1" applyFill="1" applyAlignment="1" applyProtection="1">
      <alignment vertical="center"/>
    </xf>
    <xf numFmtId="0" fontId="74" fillId="6" borderId="0" xfId="0" applyFont="1" applyFill="1" applyAlignment="1" applyProtection="1">
      <alignment vertical="top" wrapText="1"/>
    </xf>
    <xf numFmtId="0" fontId="74" fillId="6" borderId="0" xfId="0" applyFont="1" applyFill="1" applyAlignment="1" applyProtection="1">
      <alignment horizontal="center" vertical="top" wrapText="1"/>
    </xf>
    <xf numFmtId="0" fontId="74" fillId="6" borderId="0" xfId="0" applyFont="1" applyFill="1" applyAlignment="1" applyProtection="1">
      <alignment vertical="center" wrapText="1"/>
    </xf>
    <xf numFmtId="0" fontId="74" fillId="6" borderId="0" xfId="0" applyFont="1" applyFill="1" applyAlignment="1" applyProtection="1">
      <alignment vertical="top"/>
    </xf>
    <xf numFmtId="0" fontId="18" fillId="0" borderId="0" xfId="0" applyFont="1" applyAlignment="1" applyProtection="1">
      <alignment horizontal="center" vertical="center"/>
    </xf>
    <xf numFmtId="0" fontId="18" fillId="0" borderId="0" xfId="0" applyFont="1" applyAlignment="1" applyProtection="1">
      <alignment horizontal="lef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14" fontId="2" fillId="2" borderId="0" xfId="2" applyNumberFormat="1" applyFont="1" applyFill="1" applyBorder="1" applyAlignment="1" applyProtection="1">
      <alignment horizontal="right" vertical="center"/>
    </xf>
    <xf numFmtId="0" fontId="55" fillId="0" borderId="0" xfId="0" applyFont="1" applyBorder="1" applyProtection="1"/>
    <xf numFmtId="0" fontId="53" fillId="6" borderId="0" xfId="0" applyFont="1" applyFill="1" applyBorder="1" applyProtection="1"/>
    <xf numFmtId="0" fontId="53" fillId="0" borderId="0" xfId="0" applyFont="1" applyFill="1" applyAlignment="1" applyProtection="1">
      <alignment horizontal="center" vertical="center"/>
    </xf>
    <xf numFmtId="0" fontId="35" fillId="0" borderId="0" xfId="0" applyFont="1" applyAlignment="1" applyProtection="1">
      <alignment horizontal="center" vertical="center"/>
    </xf>
    <xf numFmtId="0" fontId="61" fillId="0" borderId="0" xfId="0" applyFont="1" applyBorder="1" applyProtection="1"/>
    <xf numFmtId="0" fontId="54" fillId="6" borderId="0" xfId="0" applyFont="1" applyFill="1" applyBorder="1" applyProtection="1"/>
    <xf numFmtId="0" fontId="54" fillId="0" borderId="0" xfId="0" applyFont="1" applyFill="1" applyProtection="1"/>
    <xf numFmtId="0" fontId="54" fillId="0" borderId="0" xfId="0" applyFont="1" applyFill="1" applyAlignment="1" applyProtection="1">
      <alignment horizontal="center" vertical="center"/>
    </xf>
    <xf numFmtId="0" fontId="19" fillId="0" borderId="0" xfId="0" applyFont="1" applyAlignment="1" applyProtection="1">
      <alignment horizontal="center" vertical="center"/>
    </xf>
    <xf numFmtId="0" fontId="19" fillId="2" borderId="0" xfId="0" applyFont="1" applyFill="1" applyBorder="1" applyAlignment="1" applyProtection="1">
      <alignment horizontal="center" vertical="center"/>
    </xf>
    <xf numFmtId="0" fontId="13" fillId="3" borderId="0" xfId="0" applyFont="1" applyFill="1" applyBorder="1" applyAlignment="1" applyProtection="1">
      <alignment horizontal="left" vertical="center" indent="1"/>
    </xf>
    <xf numFmtId="0" fontId="2" fillId="3" borderId="0" xfId="0" applyFont="1" applyFill="1" applyBorder="1" applyAlignment="1" applyProtection="1">
      <alignment horizontal="right" vertical="center"/>
    </xf>
    <xf numFmtId="9" fontId="13" fillId="3" borderId="0" xfId="0" applyNumberFormat="1" applyFont="1" applyFill="1" applyBorder="1" applyAlignment="1" applyProtection="1">
      <alignment horizontal="left" vertical="center"/>
    </xf>
    <xf numFmtId="9" fontId="63" fillId="6" borderId="41" xfId="0" applyNumberFormat="1" applyFont="1" applyFill="1" applyBorder="1" applyAlignment="1" applyProtection="1">
      <alignment horizontal="left" vertical="center"/>
    </xf>
    <xf numFmtId="14" fontId="0" fillId="6" borderId="42" xfId="0" applyNumberFormat="1" applyFill="1" applyBorder="1" applyAlignment="1" applyProtection="1">
      <alignment horizontal="center" vertical="center"/>
    </xf>
    <xf numFmtId="0" fontId="63" fillId="6" borderId="41" xfId="0" applyFont="1" applyFill="1" applyBorder="1" applyAlignment="1" applyProtection="1">
      <alignment horizontal="left" vertical="center"/>
    </xf>
    <xf numFmtId="0" fontId="63" fillId="6" borderId="43" xfId="0" applyFont="1" applyFill="1" applyBorder="1" applyAlignment="1" applyProtection="1">
      <alignment horizontal="left" vertical="center"/>
    </xf>
    <xf numFmtId="0" fontId="63" fillId="6" borderId="0" xfId="0" applyFont="1" applyFill="1" applyBorder="1" applyAlignment="1" applyProtection="1">
      <alignment horizontal="left" vertical="center"/>
    </xf>
    <xf numFmtId="0" fontId="63" fillId="6" borderId="33" xfId="0" applyFont="1" applyFill="1" applyBorder="1" applyAlignment="1" applyProtection="1">
      <alignment horizontal="left" vertical="center"/>
    </xf>
    <xf numFmtId="0" fontId="63" fillId="6" borderId="47" xfId="2" applyNumberFormat="1" applyFont="1" applyFill="1" applyBorder="1" applyAlignment="1" applyProtection="1">
      <alignment vertical="center"/>
    </xf>
    <xf numFmtId="49" fontId="63" fillId="6" borderId="48" xfId="2" applyNumberFormat="1" applyFont="1" applyFill="1" applyBorder="1" applyAlignment="1" applyProtection="1">
      <alignment vertical="center"/>
    </xf>
    <xf numFmtId="49" fontId="63" fillId="6" borderId="46" xfId="0" applyNumberFormat="1" applyFont="1" applyFill="1" applyBorder="1" applyAlignment="1" applyProtection="1">
      <alignment horizontal="left" vertical="center"/>
    </xf>
    <xf numFmtId="0" fontId="63" fillId="6" borderId="47" xfId="0" applyFont="1" applyFill="1" applyBorder="1" applyAlignment="1" applyProtection="1">
      <alignment horizontal="left" vertical="center"/>
    </xf>
    <xf numFmtId="0" fontId="19" fillId="2" borderId="0" xfId="0" applyFont="1" applyFill="1" applyAlignment="1" applyProtection="1">
      <alignment horizontal="center" vertical="center"/>
    </xf>
    <xf numFmtId="0" fontId="34" fillId="2" borderId="0" xfId="0" applyNumberFormat="1" applyFont="1" applyFill="1" applyBorder="1" applyAlignment="1" applyProtection="1">
      <alignment horizontal="center" vertical="center"/>
    </xf>
    <xf numFmtId="0" fontId="19" fillId="2" borderId="0" xfId="0" applyFont="1" applyFill="1" applyBorder="1" applyProtection="1"/>
    <xf numFmtId="0" fontId="19" fillId="0" borderId="0" xfId="0" applyFont="1" applyProtection="1"/>
    <xf numFmtId="0" fontId="37" fillId="6" borderId="0" xfId="0" applyFont="1" applyFill="1" applyBorder="1" applyProtection="1"/>
    <xf numFmtId="9" fontId="41" fillId="6" borderId="0" xfId="0" applyNumberFormat="1" applyFont="1" applyFill="1" applyBorder="1" applyAlignment="1" applyProtection="1">
      <alignment horizontal="center" vertical="center"/>
    </xf>
    <xf numFmtId="9" fontId="41" fillId="6" borderId="8" xfId="0" applyNumberFormat="1" applyFont="1" applyFill="1" applyBorder="1" applyAlignment="1" applyProtection="1">
      <alignment horizontal="center" vertical="center"/>
    </xf>
    <xf numFmtId="0" fontId="37" fillId="6" borderId="7" xfId="0" applyFont="1" applyFill="1" applyBorder="1" applyProtection="1"/>
    <xf numFmtId="0" fontId="37" fillId="6" borderId="8" xfId="0" applyFont="1" applyFill="1" applyBorder="1" applyProtection="1"/>
    <xf numFmtId="9" fontId="13" fillId="6" borderId="11" xfId="0" applyNumberFormat="1" applyFont="1" applyFill="1" applyBorder="1" applyAlignment="1" applyProtection="1">
      <alignment vertical="center"/>
    </xf>
    <xf numFmtId="0" fontId="17" fillId="6" borderId="12" xfId="0" applyFont="1" applyFill="1" applyBorder="1" applyAlignment="1" applyProtection="1">
      <alignment horizontal="left" vertical="center" indent="1"/>
    </xf>
    <xf numFmtId="9" fontId="17" fillId="6" borderId="12" xfId="0" applyNumberFormat="1" applyFont="1" applyFill="1" applyBorder="1" applyAlignment="1" applyProtection="1">
      <alignment horizontal="left" vertical="center" indent="2"/>
    </xf>
    <xf numFmtId="0" fontId="13" fillId="6" borderId="13" xfId="0" applyFont="1" applyFill="1" applyBorder="1" applyAlignment="1" applyProtection="1">
      <alignment horizontal="right" vertical="center"/>
    </xf>
    <xf numFmtId="0" fontId="17" fillId="2" borderId="12" xfId="0" applyFont="1" applyFill="1" applyBorder="1" applyAlignment="1" applyProtection="1">
      <alignment horizontal="center"/>
    </xf>
    <xf numFmtId="0" fontId="42" fillId="2" borderId="12" xfId="1" applyFont="1" applyFill="1" applyBorder="1" applyAlignment="1" applyProtection="1">
      <alignment horizontal="left" vertical="center" wrapText="1"/>
    </xf>
    <xf numFmtId="0" fontId="53" fillId="6" borderId="0" xfId="0" applyFont="1" applyFill="1" applyBorder="1" applyAlignment="1" applyProtection="1">
      <alignment horizontal="center" vertical="center"/>
    </xf>
    <xf numFmtId="9" fontId="13" fillId="3" borderId="5" xfId="0" applyNumberFormat="1" applyFont="1" applyFill="1" applyBorder="1" applyAlignment="1" applyProtection="1">
      <alignment vertical="center"/>
    </xf>
    <xf numFmtId="49" fontId="2" fillId="2" borderId="5" xfId="0" applyNumberFormat="1" applyFont="1" applyFill="1" applyBorder="1" applyAlignment="1" applyProtection="1">
      <alignment horizontal="center" vertical="center" wrapText="1"/>
    </xf>
    <xf numFmtId="9" fontId="2" fillId="2" borderId="5" xfId="0" applyNumberFormat="1" applyFont="1" applyFill="1" applyBorder="1" applyAlignment="1" applyProtection="1">
      <alignment horizontal="center" vertical="center"/>
    </xf>
    <xf numFmtId="0" fontId="53" fillId="0" borderId="0" xfId="0" applyFont="1" applyFill="1" applyAlignment="1" applyProtection="1">
      <alignment vertical="center"/>
    </xf>
    <xf numFmtId="9" fontId="13" fillId="10" borderId="10" xfId="0" applyNumberFormat="1" applyFont="1" applyFill="1" applyBorder="1" applyAlignment="1" applyProtection="1">
      <alignment horizontal="left" vertical="center"/>
    </xf>
    <xf numFmtId="9" fontId="13" fillId="9" borderId="10" xfId="0" applyNumberFormat="1" applyFont="1" applyFill="1" applyBorder="1" applyAlignment="1" applyProtection="1">
      <alignment horizontal="center" vertical="center"/>
    </xf>
    <xf numFmtId="9" fontId="13" fillId="9" borderId="50" xfId="0" applyNumberFormat="1"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xf>
    <xf numFmtId="9" fontId="2" fillId="2" borderId="0" xfId="0" applyNumberFormat="1" applyFont="1" applyFill="1" applyBorder="1" applyAlignment="1" applyProtection="1">
      <alignment horizontal="center" vertical="center"/>
    </xf>
    <xf numFmtId="9" fontId="2" fillId="4" borderId="34" xfId="0" applyNumberFormat="1" applyFont="1" applyFill="1" applyBorder="1" applyAlignment="1" applyProtection="1">
      <alignment horizontal="center" vertical="center" wrapText="1"/>
    </xf>
    <xf numFmtId="0" fontId="53" fillId="6" borderId="0" xfId="0" applyFont="1" applyFill="1" applyProtection="1"/>
    <xf numFmtId="0" fontId="2" fillId="3" borderId="0" xfId="0" applyFont="1" applyFill="1" applyBorder="1" applyAlignment="1" applyProtection="1">
      <alignment horizontal="left" vertical="center" wrapText="1"/>
    </xf>
    <xf numFmtId="0" fontId="2" fillId="3" borderId="44" xfId="0" applyFont="1" applyFill="1" applyBorder="1" applyAlignment="1" applyProtection="1">
      <alignment horizontal="left" vertical="center" wrapText="1"/>
    </xf>
    <xf numFmtId="9" fontId="2" fillId="2" borderId="44" xfId="0" applyNumberFormat="1" applyFont="1" applyFill="1" applyBorder="1" applyAlignment="1" applyProtection="1">
      <alignment horizontal="center" vertical="center"/>
    </xf>
    <xf numFmtId="9" fontId="13" fillId="13" borderId="10" xfId="0" applyNumberFormat="1" applyFont="1" applyFill="1" applyBorder="1" applyAlignment="1" applyProtection="1">
      <alignment horizontal="left" vertical="center"/>
    </xf>
    <xf numFmtId="9" fontId="13" fillId="12" borderId="10" xfId="0" applyNumberFormat="1" applyFont="1" applyFill="1" applyBorder="1" applyAlignment="1" applyProtection="1">
      <alignment horizontal="center" vertical="center"/>
    </xf>
    <xf numFmtId="9" fontId="13" fillId="12" borderId="50" xfId="0" applyNumberFormat="1" applyFont="1" applyFill="1" applyBorder="1" applyAlignment="1" applyProtection="1">
      <alignment horizontal="center" vertical="center" wrapText="1"/>
    </xf>
    <xf numFmtId="9" fontId="2" fillId="3" borderId="0" xfId="0" applyNumberFormat="1" applyFont="1" applyFill="1" applyBorder="1" applyAlignment="1" applyProtection="1">
      <alignment horizontal="center" vertical="center"/>
    </xf>
    <xf numFmtId="0" fontId="53" fillId="0" borderId="0" xfId="0" applyFont="1" applyFill="1" applyAlignment="1" applyProtection="1">
      <alignment horizontal="left" vertical="center"/>
    </xf>
    <xf numFmtId="0" fontId="37" fillId="0" borderId="0" xfId="0" applyFont="1" applyFill="1" applyProtection="1"/>
    <xf numFmtId="0" fontId="37" fillId="0" borderId="47" xfId="0" applyFont="1" applyBorder="1" applyProtection="1"/>
    <xf numFmtId="9" fontId="37" fillId="0" borderId="47" xfId="0" applyNumberFormat="1" applyFont="1" applyBorder="1" applyAlignment="1" applyProtection="1">
      <alignment horizontal="center"/>
    </xf>
    <xf numFmtId="9" fontId="2" fillId="4" borderId="48" xfId="0" applyNumberFormat="1" applyFont="1" applyFill="1" applyBorder="1" applyAlignment="1" applyProtection="1">
      <alignment horizontal="center" vertical="center" wrapText="1"/>
    </xf>
    <xf numFmtId="0" fontId="0" fillId="4" borderId="0" xfId="0" applyFill="1" applyProtection="1"/>
    <xf numFmtId="0" fontId="2" fillId="0" borderId="0" xfId="0" applyFont="1" applyFill="1" applyBorder="1" applyProtection="1"/>
    <xf numFmtId="0" fontId="2" fillId="0" borderId="0" xfId="0" applyFont="1" applyFill="1" applyBorder="1" applyAlignment="1" applyProtection="1">
      <alignment vertical="center"/>
    </xf>
    <xf numFmtId="0" fontId="53" fillId="4" borderId="0" xfId="0" applyFont="1" applyFill="1" applyProtection="1"/>
    <xf numFmtId="0" fontId="2" fillId="4" borderId="0" xfId="0" applyFont="1" applyFill="1" applyProtection="1"/>
    <xf numFmtId="0" fontId="37" fillId="4" borderId="0" xfId="0" applyFont="1" applyFill="1" applyProtection="1"/>
    <xf numFmtId="0" fontId="11" fillId="0" borderId="0" xfId="0" applyFont="1" applyFill="1" applyBorder="1" applyProtection="1"/>
    <xf numFmtId="0" fontId="0" fillId="6" borderId="0" xfId="0" applyFill="1" applyProtection="1"/>
    <xf numFmtId="0" fontId="14" fillId="0" borderId="0" xfId="0" applyFont="1" applyFill="1" applyBorder="1" applyProtection="1"/>
    <xf numFmtId="0" fontId="67" fillId="6" borderId="0" xfId="0" applyFont="1" applyFill="1" applyBorder="1" applyProtection="1"/>
    <xf numFmtId="0" fontId="67" fillId="0" borderId="0" xfId="0" applyFont="1" applyFill="1" applyAlignment="1" applyProtection="1">
      <alignment horizontal="center" vertical="center"/>
    </xf>
    <xf numFmtId="0" fontId="67" fillId="0" borderId="0" xfId="0" applyFont="1" applyAlignment="1" applyProtection="1">
      <alignment horizontal="center" vertical="center"/>
    </xf>
    <xf numFmtId="0" fontId="54" fillId="0" borderId="0" xfId="0" applyFont="1" applyAlignment="1" applyProtection="1">
      <alignment horizontal="center" vertical="center"/>
    </xf>
    <xf numFmtId="0" fontId="53" fillId="0" borderId="0" xfId="0" applyFont="1" applyAlignment="1" applyProtection="1">
      <alignment horizontal="center" vertical="center"/>
    </xf>
    <xf numFmtId="9" fontId="2" fillId="6" borderId="10" xfId="2" applyNumberFormat="1" applyFont="1" applyFill="1" applyBorder="1" applyAlignment="1" applyProtection="1">
      <alignment horizontal="left" vertical="center" wrapText="1"/>
    </xf>
    <xf numFmtId="165" fontId="2" fillId="6" borderId="10" xfId="2" applyNumberFormat="1" applyFont="1" applyFill="1" applyBorder="1" applyAlignment="1" applyProtection="1">
      <alignment horizontal="left" vertical="center" wrapText="1"/>
    </xf>
    <xf numFmtId="0" fontId="53" fillId="6" borderId="0" xfId="0" applyFont="1" applyFill="1" applyBorder="1" applyAlignment="1" applyProtection="1">
      <alignment vertical="center"/>
    </xf>
    <xf numFmtId="9" fontId="2" fillId="6" borderId="0" xfId="2" applyNumberFormat="1" applyFont="1" applyFill="1" applyBorder="1" applyAlignment="1" applyProtection="1">
      <alignment horizontal="left" vertical="center" wrapText="1"/>
    </xf>
    <xf numFmtId="0" fontId="2" fillId="6" borderId="0" xfId="2" applyNumberFormat="1" applyFont="1" applyFill="1" applyBorder="1" applyAlignment="1" applyProtection="1">
      <alignment horizontal="left" vertical="center" wrapText="1"/>
    </xf>
    <xf numFmtId="9" fontId="2" fillId="6" borderId="17" xfId="2" applyNumberFormat="1" applyFont="1" applyFill="1" applyBorder="1" applyAlignment="1" applyProtection="1">
      <alignment vertical="center"/>
    </xf>
    <xf numFmtId="49" fontId="2" fillId="6" borderId="32" xfId="2" applyNumberFormat="1" applyFont="1" applyFill="1" applyBorder="1" applyAlignment="1" applyProtection="1">
      <alignment vertical="center"/>
    </xf>
    <xf numFmtId="0" fontId="2" fillId="6" borderId="17" xfId="2" applyNumberFormat="1" applyFont="1" applyFill="1" applyBorder="1" applyAlignment="1" applyProtection="1">
      <alignment horizontal="left" vertical="center" wrapText="1"/>
    </xf>
    <xf numFmtId="0" fontId="12" fillId="2" borderId="0" xfId="0" applyFont="1" applyFill="1" applyAlignment="1" applyProtection="1">
      <alignment horizontal="center" vertical="center"/>
    </xf>
    <xf numFmtId="0" fontId="15" fillId="2" borderId="0" xfId="0" applyNumberFormat="1" applyFont="1" applyFill="1" applyBorder="1" applyAlignment="1" applyProtection="1">
      <alignment horizontal="center" vertical="center"/>
    </xf>
    <xf numFmtId="0" fontId="12" fillId="2" borderId="0" xfId="0" applyFont="1" applyFill="1" applyBorder="1" applyProtection="1"/>
    <xf numFmtId="0" fontId="67" fillId="6" borderId="0" xfId="0" applyFont="1" applyFill="1" applyBorder="1" applyAlignment="1" applyProtection="1">
      <alignment horizontal="center" vertical="center"/>
    </xf>
    <xf numFmtId="9" fontId="73" fillId="9" borderId="9" xfId="0" applyNumberFormat="1" applyFont="1" applyFill="1" applyBorder="1" applyAlignment="1" applyProtection="1">
      <alignment horizontal="center" vertical="center"/>
    </xf>
    <xf numFmtId="9" fontId="73" fillId="9" borderId="10" xfId="0" applyNumberFormat="1" applyFont="1" applyFill="1" applyBorder="1" applyAlignment="1" applyProtection="1">
      <alignment horizontal="center" vertical="center"/>
    </xf>
    <xf numFmtId="9" fontId="73" fillId="9" borderId="10" xfId="0" applyNumberFormat="1" applyFont="1" applyFill="1" applyBorder="1" applyAlignment="1" applyProtection="1">
      <alignment horizontal="left" vertical="center"/>
    </xf>
    <xf numFmtId="9" fontId="73" fillId="9" borderId="16" xfId="0" applyNumberFormat="1" applyFont="1" applyFill="1" applyBorder="1" applyAlignment="1" applyProtection="1">
      <alignment horizontal="center" vertical="center"/>
    </xf>
    <xf numFmtId="9" fontId="73" fillId="9" borderId="15" xfId="0" applyNumberFormat="1" applyFont="1" applyFill="1" applyBorder="1" applyAlignment="1" applyProtection="1">
      <alignment horizontal="center" vertical="center"/>
    </xf>
    <xf numFmtId="0" fontId="7" fillId="6" borderId="9" xfId="0" applyFont="1" applyFill="1" applyBorder="1" applyAlignment="1" applyProtection="1">
      <alignment horizontal="left" vertical="center"/>
    </xf>
    <xf numFmtId="0" fontId="1" fillId="6" borderId="10" xfId="0" applyFont="1" applyFill="1" applyBorder="1" applyAlignment="1" applyProtection="1">
      <alignment horizontal="center" vertical="center"/>
    </xf>
    <xf numFmtId="0" fontId="1" fillId="6" borderId="10" xfId="0" applyFont="1" applyFill="1" applyBorder="1" applyAlignment="1" applyProtection="1">
      <alignment horizontal="left" vertical="center" indent="2"/>
    </xf>
    <xf numFmtId="0" fontId="36" fillId="6" borderId="7" xfId="0" applyFont="1" applyFill="1" applyBorder="1" applyProtection="1"/>
    <xf numFmtId="0" fontId="36" fillId="6" borderId="0" xfId="0" applyFont="1" applyFill="1" applyBorder="1" applyProtection="1"/>
    <xf numFmtId="0" fontId="36" fillId="6" borderId="11" xfId="0" applyFont="1" applyFill="1" applyBorder="1" applyProtection="1"/>
    <xf numFmtId="0" fontId="36" fillId="6" borderId="12" xfId="0" applyFont="1" applyFill="1" applyBorder="1" applyProtection="1"/>
    <xf numFmtId="0" fontId="36" fillId="0" borderId="0" xfId="0" applyFont="1" applyProtection="1"/>
    <xf numFmtId="0" fontId="2" fillId="0" borderId="0" xfId="0" applyFont="1" applyAlignment="1" applyProtection="1">
      <alignment vertical="center"/>
    </xf>
    <xf numFmtId="0" fontId="2" fillId="0" borderId="0" xfId="0" applyFont="1" applyAlignment="1" applyProtection="1">
      <alignment vertical="center" wrapText="1"/>
    </xf>
    <xf numFmtId="9" fontId="2" fillId="0" borderId="0" xfId="0" applyNumberFormat="1" applyFont="1" applyAlignment="1" applyProtection="1">
      <alignment horizontal="center" vertical="center"/>
    </xf>
    <xf numFmtId="0" fontId="9" fillId="6" borderId="9" xfId="0" applyFont="1" applyFill="1" applyBorder="1" applyAlignment="1" applyProtection="1">
      <alignment horizontal="center" vertical="center"/>
    </xf>
    <xf numFmtId="0" fontId="9" fillId="6" borderId="1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68" fillId="11" borderId="0" xfId="0" applyFont="1" applyFill="1" applyProtection="1"/>
    <xf numFmtId="0" fontId="37" fillId="4" borderId="0" xfId="0" applyFont="1" applyFill="1" applyBorder="1" applyProtection="1"/>
    <xf numFmtId="0" fontId="2" fillId="4" borderId="17" xfId="0" applyFont="1" applyFill="1" applyBorder="1" applyAlignment="1" applyProtection="1">
      <alignment vertical="center"/>
    </xf>
    <xf numFmtId="0" fontId="2" fillId="4" borderId="17" xfId="0" applyFont="1" applyFill="1" applyBorder="1" applyProtection="1"/>
    <xf numFmtId="9" fontId="13" fillId="4" borderId="17" xfId="0" applyNumberFormat="1" applyFont="1" applyFill="1" applyBorder="1" applyAlignment="1" applyProtection="1">
      <alignment vertical="center"/>
    </xf>
    <xf numFmtId="9" fontId="26" fillId="6" borderId="60" xfId="2" applyNumberFormat="1" applyFont="1" applyFill="1" applyBorder="1" applyAlignment="1" applyProtection="1">
      <alignment horizontal="center" vertical="center"/>
    </xf>
    <xf numFmtId="0" fontId="45" fillId="16" borderId="0" xfId="2" applyFont="1" applyFill="1" applyBorder="1" applyAlignment="1" applyProtection="1">
      <alignment vertical="center"/>
    </xf>
    <xf numFmtId="0" fontId="1" fillId="14" borderId="0" xfId="0" applyFont="1" applyFill="1" applyAlignment="1" applyProtection="1">
      <alignment horizontal="center" vertical="top" wrapText="1"/>
    </xf>
    <xf numFmtId="0" fontId="13" fillId="18" borderId="0" xfId="2" applyFont="1" applyFill="1" applyBorder="1" applyAlignment="1" applyProtection="1">
      <alignment vertical="center"/>
    </xf>
    <xf numFmtId="0" fontId="13" fillId="18" borderId="22" xfId="2" applyFont="1" applyFill="1" applyBorder="1" applyAlignment="1" applyProtection="1">
      <alignment vertical="center"/>
    </xf>
    <xf numFmtId="0" fontId="74" fillId="6" borderId="0" xfId="0" applyFont="1" applyFill="1" applyAlignment="1" applyProtection="1">
      <alignment horizontal="center" vertical="center" wrapText="1"/>
    </xf>
    <xf numFmtId="0" fontId="59" fillId="19" borderId="63" xfId="2" applyFont="1" applyFill="1" applyBorder="1" applyAlignment="1" applyProtection="1">
      <alignment horizontal="center" vertical="center" wrapText="1"/>
    </xf>
    <xf numFmtId="0" fontId="81" fillId="0" borderId="0" xfId="0" applyFont="1" applyProtection="1"/>
    <xf numFmtId="0" fontId="56" fillId="14" borderId="70" xfId="0" applyFont="1" applyFill="1" applyBorder="1" applyAlignment="1">
      <alignment horizontal="center" vertical="center"/>
    </xf>
    <xf numFmtId="9" fontId="66" fillId="16" borderId="0" xfId="0" applyNumberFormat="1" applyFont="1" applyFill="1" applyBorder="1" applyAlignment="1" applyProtection="1">
      <alignment horizontal="center" vertical="center" wrapText="1"/>
    </xf>
    <xf numFmtId="9" fontId="31" fillId="20" borderId="67" xfId="0" applyNumberFormat="1" applyFont="1" applyFill="1" applyBorder="1" applyAlignment="1" applyProtection="1">
      <alignment horizontal="center" vertical="center" wrapText="1"/>
    </xf>
    <xf numFmtId="9" fontId="31" fillId="22" borderId="65" xfId="2" applyNumberFormat="1" applyFont="1" applyFill="1" applyBorder="1" applyAlignment="1" applyProtection="1">
      <alignment horizontal="center" vertical="center" wrapText="1"/>
    </xf>
    <xf numFmtId="0" fontId="55" fillId="0" borderId="0" xfId="0" applyFont="1" applyFill="1" applyProtection="1"/>
    <xf numFmtId="0" fontId="55" fillId="0" borderId="0" xfId="0" applyFont="1" applyFill="1" applyBorder="1" applyProtection="1"/>
    <xf numFmtId="0" fontId="55" fillId="0" borderId="0" xfId="0" applyFont="1" applyFill="1" applyBorder="1" applyAlignment="1" applyProtection="1">
      <alignment horizontal="center"/>
    </xf>
    <xf numFmtId="0" fontId="61" fillId="0" borderId="0" xfId="0" applyFont="1" applyFill="1" applyBorder="1" applyProtection="1"/>
    <xf numFmtId="0" fontId="61" fillId="0" borderId="0" xfId="0" applyFont="1" applyFill="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center" vertical="center"/>
    </xf>
    <xf numFmtId="0" fontId="55" fillId="0" borderId="0" xfId="0" applyFont="1" applyFill="1" applyAlignment="1" applyProtection="1">
      <alignment horizontal="center" vertical="center"/>
    </xf>
    <xf numFmtId="0" fontId="55" fillId="0" borderId="0" xfId="0" applyFont="1" applyFill="1" applyAlignment="1" applyProtection="1">
      <alignment vertical="center"/>
    </xf>
    <xf numFmtId="0" fontId="81" fillId="0" borderId="0" xfId="0" applyFont="1" applyFill="1" applyProtection="1"/>
    <xf numFmtId="0" fontId="81" fillId="4" borderId="0" xfId="0" applyFont="1" applyFill="1" applyProtection="1"/>
    <xf numFmtId="0" fontId="81" fillId="6" borderId="0" xfId="0" applyFont="1" applyFill="1"/>
    <xf numFmtId="0" fontId="81" fillId="2" borderId="0" xfId="0" applyFont="1" applyFill="1"/>
    <xf numFmtId="0" fontId="81" fillId="4" borderId="0" xfId="0" applyFont="1" applyFill="1"/>
    <xf numFmtId="0" fontId="84" fillId="0" borderId="0" xfId="0" applyFont="1" applyFill="1" applyBorder="1" applyProtection="1"/>
    <xf numFmtId="0" fontId="84" fillId="0" borderId="0" xfId="0" applyFont="1" applyFill="1" applyProtection="1"/>
    <xf numFmtId="0" fontId="84" fillId="0" borderId="0" xfId="0" applyFont="1" applyFill="1" applyAlignment="1" applyProtection="1">
      <alignment horizontal="center" vertical="center"/>
    </xf>
    <xf numFmtId="0" fontId="61" fillId="0" borderId="0" xfId="0" applyFont="1" applyFill="1" applyBorder="1" applyAlignment="1" applyProtection="1">
      <alignment horizontal="center"/>
    </xf>
    <xf numFmtId="0" fontId="61" fillId="0" borderId="0" xfId="0" applyFont="1" applyFill="1" applyAlignment="1" applyProtection="1">
      <alignment horizontal="center" vertical="center"/>
    </xf>
    <xf numFmtId="0" fontId="84" fillId="0" borderId="0" xfId="0" applyFont="1" applyFill="1" applyBorder="1" applyAlignment="1" applyProtection="1">
      <alignment horizontal="center" vertical="center"/>
    </xf>
    <xf numFmtId="0" fontId="71" fillId="4" borderId="0" xfId="0" applyFont="1" applyFill="1" applyAlignment="1">
      <alignment horizontal="left"/>
    </xf>
    <xf numFmtId="0" fontId="68" fillId="2" borderId="0" xfId="0" applyFont="1" applyFill="1" applyAlignment="1">
      <alignment horizontal="left"/>
    </xf>
    <xf numFmtId="9" fontId="31" fillId="23" borderId="66" xfId="0" applyNumberFormat="1" applyFont="1" applyFill="1" applyBorder="1" applyAlignment="1" applyProtection="1">
      <alignment horizontal="center" vertical="center" wrapText="1"/>
    </xf>
    <xf numFmtId="9" fontId="31" fillId="21" borderId="67" xfId="0" applyNumberFormat="1" applyFont="1" applyFill="1" applyBorder="1" applyAlignment="1" applyProtection="1">
      <alignment horizontal="center" vertical="center" wrapText="1"/>
    </xf>
    <xf numFmtId="0" fontId="0" fillId="24" borderId="0" xfId="0" applyFill="1" applyAlignment="1" applyProtection="1">
      <alignment horizontal="left" vertical="center"/>
    </xf>
    <xf numFmtId="0" fontId="86" fillId="0" borderId="0" xfId="0" applyFont="1"/>
    <xf numFmtId="0" fontId="0" fillId="24" borderId="0" xfId="0" applyFill="1"/>
    <xf numFmtId="0" fontId="88" fillId="24" borderId="0" xfId="0" applyFont="1" applyFill="1" applyAlignment="1">
      <alignment horizontal="center"/>
    </xf>
    <xf numFmtId="0" fontId="88" fillId="24" borderId="0" xfId="0" applyFont="1" applyFill="1" applyBorder="1" applyAlignment="1">
      <alignment horizontal="center"/>
    </xf>
    <xf numFmtId="0" fontId="0" fillId="24" borderId="0" xfId="0" applyFill="1" applyBorder="1" applyAlignment="1"/>
    <xf numFmtId="0" fontId="0" fillId="0" borderId="0" xfId="0" applyAlignment="1"/>
    <xf numFmtId="0" fontId="87" fillId="24" borderId="0" xfId="0" applyFont="1" applyFill="1" applyAlignment="1"/>
    <xf numFmtId="0" fontId="87" fillId="24" borderId="0" xfId="0" applyFont="1" applyFill="1" applyAlignment="1">
      <alignment horizontal="left"/>
    </xf>
    <xf numFmtId="0" fontId="88" fillId="24" borderId="0" xfId="0" applyFont="1" applyFill="1"/>
    <xf numFmtId="0" fontId="90" fillId="24" borderId="0" xfId="0" applyFont="1" applyFill="1" applyAlignment="1">
      <alignment horizontal="left"/>
    </xf>
    <xf numFmtId="0" fontId="64" fillId="24" borderId="0" xfId="0" applyFont="1" applyFill="1" applyBorder="1" applyAlignment="1">
      <alignment vertical="center"/>
    </xf>
    <xf numFmtId="0" fontId="87" fillId="24" borderId="0" xfId="0" applyFont="1" applyFill="1" applyBorder="1" applyAlignment="1">
      <alignment horizontal="left"/>
    </xf>
    <xf numFmtId="0" fontId="88" fillId="24" borderId="0" xfId="0" applyFont="1" applyFill="1" applyBorder="1" applyAlignment="1">
      <alignment vertical="center"/>
    </xf>
    <xf numFmtId="0" fontId="0" fillId="0" borderId="0" xfId="0" applyBorder="1"/>
    <xf numFmtId="0" fontId="0" fillId="0" borderId="0" xfId="0" applyBorder="1" applyAlignment="1"/>
    <xf numFmtId="0" fontId="91" fillId="24" borderId="0" xfId="0" applyFont="1" applyFill="1" applyProtection="1"/>
    <xf numFmtId="0" fontId="0" fillId="24" borderId="0" xfId="0" applyFill="1" applyAlignment="1" applyProtection="1">
      <alignment vertical="center"/>
    </xf>
    <xf numFmtId="49" fontId="2" fillId="3" borderId="0" xfId="0" applyNumberFormat="1" applyFont="1" applyFill="1" applyBorder="1" applyAlignment="1" applyProtection="1">
      <alignment horizontal="center" vertical="center" wrapText="1"/>
    </xf>
    <xf numFmtId="49" fontId="2" fillId="3" borderId="44" xfId="0" applyNumberFormat="1" applyFont="1" applyFill="1" applyBorder="1" applyAlignment="1" applyProtection="1">
      <alignment horizontal="center" vertical="center" wrapText="1"/>
    </xf>
    <xf numFmtId="0" fontId="13" fillId="10" borderId="49" xfId="0" applyNumberFormat="1" applyFont="1" applyFill="1" applyBorder="1" applyAlignment="1" applyProtection="1">
      <alignment horizontal="center" vertical="center"/>
    </xf>
    <xf numFmtId="0" fontId="13" fillId="13" borderId="49" xfId="0" applyNumberFormat="1" applyFont="1" applyFill="1" applyBorder="1" applyAlignment="1" applyProtection="1">
      <alignment horizontal="center" vertical="center"/>
    </xf>
    <xf numFmtId="0" fontId="2" fillId="3" borderId="0" xfId="0" applyNumberFormat="1" applyFont="1" applyFill="1" applyBorder="1" applyAlignment="1" applyProtection="1">
      <alignment horizontal="center" vertical="center" wrapText="1"/>
    </xf>
    <xf numFmtId="0" fontId="37" fillId="0" borderId="47" xfId="0" applyNumberFormat="1" applyFont="1" applyBorder="1" applyAlignment="1" applyProtection="1">
      <alignment horizontal="center"/>
    </xf>
    <xf numFmtId="0" fontId="46" fillId="2" borderId="0" xfId="0" applyNumberFormat="1" applyFont="1" applyFill="1" applyBorder="1" applyAlignment="1" applyProtection="1">
      <alignment horizontal="left" vertical="center"/>
    </xf>
    <xf numFmtId="0" fontId="59" fillId="19" borderId="61" xfId="2" applyNumberFormat="1" applyFont="1" applyFill="1" applyBorder="1" applyAlignment="1" applyProtection="1">
      <alignment horizontal="center" vertical="center" wrapText="1"/>
    </xf>
    <xf numFmtId="0" fontId="72" fillId="20" borderId="67" xfId="1" applyNumberFormat="1" applyFont="1" applyFill="1" applyBorder="1" applyAlignment="1" applyProtection="1">
      <alignment horizontal="center" vertical="center" wrapText="1"/>
    </xf>
    <xf numFmtId="0" fontId="59" fillId="16" borderId="64" xfId="2" applyNumberFormat="1" applyFont="1" applyFill="1" applyBorder="1" applyAlignment="1" applyProtection="1">
      <alignment horizontal="center" vertical="center" wrapText="1"/>
    </xf>
    <xf numFmtId="0" fontId="32" fillId="6" borderId="18" xfId="0" applyNumberFormat="1" applyFont="1" applyFill="1" applyBorder="1" applyAlignment="1" applyProtection="1">
      <alignment horizontal="center" vertical="center" wrapText="1"/>
    </xf>
    <xf numFmtId="0" fontId="30" fillId="6" borderId="18" xfId="0" applyNumberFormat="1" applyFont="1" applyFill="1" applyBorder="1" applyAlignment="1" applyProtection="1">
      <alignment horizontal="center" vertical="center"/>
    </xf>
    <xf numFmtId="0" fontId="0" fillId="0" borderId="0" xfId="0" applyNumberFormat="1" applyProtection="1"/>
    <xf numFmtId="0" fontId="6" fillId="2" borderId="0" xfId="0" applyNumberFormat="1" applyFont="1" applyFill="1" applyBorder="1" applyAlignment="1" applyProtection="1">
      <alignment horizontal="left" vertical="center"/>
    </xf>
    <xf numFmtId="0" fontId="59" fillId="19" borderId="62" xfId="2" applyNumberFormat="1" applyFont="1" applyFill="1" applyBorder="1" applyAlignment="1" applyProtection="1">
      <alignment horizontal="center" vertical="center" wrapText="1"/>
    </xf>
    <xf numFmtId="0" fontId="31" fillId="20" borderId="67" xfId="2" applyNumberFormat="1" applyFont="1" applyFill="1" applyBorder="1" applyAlignment="1" applyProtection="1">
      <alignment horizontal="left" vertical="center" wrapText="1"/>
    </xf>
    <xf numFmtId="0" fontId="31" fillId="22" borderId="65" xfId="2" applyNumberFormat="1" applyFont="1" applyFill="1" applyBorder="1" applyAlignment="1" applyProtection="1">
      <alignment horizontal="left" vertical="center" wrapText="1"/>
    </xf>
    <xf numFmtId="0" fontId="32" fillId="6" borderId="1" xfId="0" applyNumberFormat="1" applyFont="1" applyFill="1" applyBorder="1" applyAlignment="1" applyProtection="1">
      <alignment horizontal="left" vertical="center" wrapText="1"/>
    </xf>
    <xf numFmtId="0" fontId="18" fillId="0" borderId="0" xfId="0" applyNumberFormat="1" applyFont="1" applyAlignment="1" applyProtection="1">
      <alignment horizontal="left" vertical="center"/>
    </xf>
    <xf numFmtId="0" fontId="19" fillId="2" borderId="0" xfId="0" applyNumberFormat="1" applyFont="1" applyFill="1" applyBorder="1" applyAlignment="1" applyProtection="1">
      <alignment horizontal="center" vertical="center"/>
    </xf>
    <xf numFmtId="0" fontId="19" fillId="2" borderId="0" xfId="0" applyNumberFormat="1" applyFont="1" applyFill="1" applyAlignment="1" applyProtection="1">
      <alignment horizontal="center" vertical="center"/>
    </xf>
    <xf numFmtId="0" fontId="37" fillId="4" borderId="2" xfId="0" applyNumberFormat="1" applyFont="1" applyFill="1" applyBorder="1" applyProtection="1"/>
    <xf numFmtId="0" fontId="37" fillId="4" borderId="3" xfId="0" applyNumberFormat="1" applyFont="1" applyFill="1" applyBorder="1" applyProtection="1"/>
    <xf numFmtId="0" fontId="17" fillId="2" borderId="12" xfId="0" applyNumberFormat="1" applyFont="1" applyFill="1" applyBorder="1" applyAlignment="1" applyProtection="1">
      <alignment horizontal="center"/>
    </xf>
    <xf numFmtId="0" fontId="19" fillId="2" borderId="5" xfId="0" applyNumberFormat="1" applyFont="1" applyFill="1" applyBorder="1" applyProtection="1"/>
    <xf numFmtId="0" fontId="37" fillId="2" borderId="33" xfId="0" applyNumberFormat="1" applyFont="1" applyFill="1" applyBorder="1" applyProtection="1"/>
    <xf numFmtId="0" fontId="37" fillId="2" borderId="51" xfId="0" applyNumberFormat="1" applyFont="1" applyFill="1" applyBorder="1" applyProtection="1"/>
    <xf numFmtId="0" fontId="37" fillId="0" borderId="46" xfId="0" applyNumberFormat="1" applyFont="1" applyBorder="1" applyProtection="1"/>
    <xf numFmtId="0" fontId="37" fillId="0" borderId="0" xfId="0" applyNumberFormat="1" applyFont="1" applyProtection="1"/>
    <xf numFmtId="0" fontId="13" fillId="21" borderId="41" xfId="0" applyNumberFormat="1" applyFont="1" applyFill="1" applyBorder="1" applyAlignment="1" applyProtection="1">
      <alignment vertical="center"/>
    </xf>
    <xf numFmtId="0" fontId="13" fillId="21" borderId="42" xfId="0" applyFont="1" applyFill="1" applyBorder="1" applyAlignment="1" applyProtection="1">
      <alignment vertical="center"/>
    </xf>
    <xf numFmtId="0" fontId="13" fillId="20" borderId="42" xfId="0" applyFont="1" applyFill="1" applyBorder="1" applyProtection="1"/>
    <xf numFmtId="9" fontId="13" fillId="20" borderId="42" xfId="0" applyNumberFormat="1" applyFont="1" applyFill="1" applyBorder="1" applyAlignment="1" applyProtection="1">
      <alignment horizontal="center" vertical="center"/>
    </xf>
    <xf numFmtId="9" fontId="13" fillId="20" borderId="43" xfId="0" applyNumberFormat="1" applyFont="1" applyFill="1" applyBorder="1" applyAlignment="1" applyProtection="1">
      <alignment horizontal="center" vertical="center" wrapText="1"/>
    </xf>
    <xf numFmtId="0" fontId="73" fillId="9" borderId="10" xfId="0" applyNumberFormat="1" applyFont="1" applyFill="1" applyBorder="1" applyAlignment="1" applyProtection="1">
      <alignment horizontal="center" vertical="center"/>
    </xf>
    <xf numFmtId="0" fontId="82" fillId="4" borderId="0" xfId="0" applyFont="1" applyFill="1" applyProtection="1"/>
    <xf numFmtId="0" fontId="56" fillId="4" borderId="0" xfId="0" applyFont="1" applyFill="1" applyProtection="1"/>
    <xf numFmtId="0" fontId="32" fillId="6" borderId="1" xfId="0" quotePrefix="1" applyNumberFormat="1" applyFont="1" applyFill="1" applyBorder="1" applyAlignment="1" applyProtection="1">
      <alignment horizontal="left" vertical="center" wrapText="1"/>
    </xf>
    <xf numFmtId="9" fontId="31" fillId="23" borderId="66" xfId="0" applyNumberFormat="1" applyFont="1" applyFill="1" applyBorder="1" applyAlignment="1" applyProtection="1">
      <alignment horizontal="center" vertical="center" wrapText="1"/>
    </xf>
    <xf numFmtId="9" fontId="31" fillId="21" borderId="67" xfId="0" applyNumberFormat="1" applyFont="1" applyFill="1" applyBorder="1" applyAlignment="1" applyProtection="1">
      <alignment horizontal="center" vertical="center" wrapText="1"/>
    </xf>
    <xf numFmtId="9" fontId="31" fillId="20" borderId="75" xfId="0" applyNumberFormat="1" applyFont="1" applyFill="1" applyBorder="1" applyAlignment="1" applyProtection="1">
      <alignment horizontal="center" vertical="center" wrapText="1"/>
    </xf>
    <xf numFmtId="0" fontId="52" fillId="0" borderId="17" xfId="0" applyFont="1" applyBorder="1" applyAlignment="1" applyProtection="1">
      <alignment vertical="center"/>
      <protection locked="0"/>
    </xf>
    <xf numFmtId="0" fontId="33" fillId="3" borderId="0" xfId="0" applyNumberFormat="1" applyFont="1" applyFill="1" applyBorder="1" applyAlignment="1" applyProtection="1">
      <alignment vertical="center" wrapText="1"/>
      <protection locked="0"/>
    </xf>
    <xf numFmtId="0" fontId="29" fillId="3" borderId="5" xfId="0" applyNumberFormat="1" applyFont="1" applyFill="1" applyBorder="1" applyAlignment="1" applyProtection="1">
      <alignment horizontal="left" vertical="center" wrapText="1"/>
      <protection locked="0"/>
    </xf>
    <xf numFmtId="0" fontId="29" fillId="3" borderId="44" xfId="0" applyNumberFormat="1" applyFont="1" applyFill="1" applyBorder="1" applyAlignment="1" applyProtection="1">
      <alignment horizontal="left" vertical="center" wrapText="1"/>
      <protection locked="0"/>
    </xf>
    <xf numFmtId="9" fontId="40" fillId="18" borderId="38" xfId="0" applyNumberFormat="1" applyFont="1" applyFill="1" applyBorder="1" applyAlignment="1" applyProtection="1">
      <alignment horizontal="center" vertical="center"/>
    </xf>
    <xf numFmtId="0" fontId="31" fillId="5" borderId="18" xfId="0" applyFont="1" applyFill="1" applyBorder="1" applyAlignment="1" applyProtection="1">
      <alignment horizontal="right" vertical="center"/>
    </xf>
    <xf numFmtId="9" fontId="31" fillId="5" borderId="68" xfId="0" applyNumberFormat="1" applyFont="1" applyFill="1" applyBorder="1" applyAlignment="1" applyProtection="1">
      <alignment horizontal="right" vertical="center" wrapText="1"/>
    </xf>
    <xf numFmtId="0" fontId="32" fillId="5" borderId="9" xfId="0" applyFont="1" applyFill="1" applyBorder="1" applyAlignment="1" applyProtection="1">
      <alignment horizontal="right" vertical="center"/>
    </xf>
    <xf numFmtId="0" fontId="32" fillId="5" borderId="24" xfId="0" applyFont="1" applyFill="1" applyBorder="1" applyAlignment="1" applyProtection="1">
      <alignment horizontal="right" vertical="center"/>
    </xf>
    <xf numFmtId="0" fontId="32" fillId="5" borderId="23" xfId="0" applyFont="1" applyFill="1" applyBorder="1" applyAlignment="1" applyProtection="1">
      <alignment horizontal="right" vertical="center"/>
    </xf>
    <xf numFmtId="0" fontId="32" fillId="5" borderId="11" xfId="0" applyFont="1" applyFill="1" applyBorder="1" applyAlignment="1" applyProtection="1">
      <alignment horizontal="right" vertical="center"/>
    </xf>
    <xf numFmtId="0" fontId="32" fillId="2" borderId="1" xfId="0" quotePrefix="1" applyFont="1" applyFill="1" applyBorder="1" applyAlignment="1" applyProtection="1">
      <alignment horizontal="left" vertical="center" wrapText="1"/>
      <protection locked="0"/>
    </xf>
    <xf numFmtId="0" fontId="32" fillId="2" borderId="92" xfId="0" quotePrefix="1" applyFont="1" applyFill="1" applyBorder="1" applyAlignment="1" applyProtection="1">
      <alignment horizontal="left" vertical="center" wrapText="1"/>
      <protection locked="0"/>
    </xf>
    <xf numFmtId="9" fontId="31" fillId="22" borderId="1" xfId="2" applyNumberFormat="1" applyFont="1" applyFill="1" applyBorder="1" applyAlignment="1" applyProtection="1">
      <alignment horizontal="center" vertical="center" wrapText="1"/>
    </xf>
    <xf numFmtId="0" fontId="31" fillId="20" borderId="67" xfId="2" applyNumberFormat="1" applyFont="1" applyFill="1" applyBorder="1" applyAlignment="1" applyProtection="1">
      <alignment horizontal="center" vertical="center" wrapText="1"/>
    </xf>
    <xf numFmtId="0" fontId="13" fillId="0" borderId="94" xfId="2" applyNumberFormat="1" applyFont="1" applyFill="1" applyBorder="1" applyAlignment="1" applyProtection="1">
      <alignment horizontal="center" vertical="center" wrapText="1"/>
    </xf>
    <xf numFmtId="0" fontId="13" fillId="0" borderId="0" xfId="2" applyNumberFormat="1" applyFont="1" applyFill="1" applyBorder="1" applyAlignment="1" applyProtection="1">
      <alignment vertical="center" wrapText="1"/>
    </xf>
    <xf numFmtId="0" fontId="59" fillId="16" borderId="95" xfId="2" applyNumberFormat="1" applyFont="1" applyFill="1" applyBorder="1" applyAlignment="1" applyProtection="1">
      <alignment horizontal="center" vertical="center" wrapText="1"/>
    </xf>
    <xf numFmtId="0" fontId="32" fillId="0" borderId="1" xfId="0" applyNumberFormat="1" applyFont="1" applyFill="1" applyBorder="1" applyAlignment="1" applyProtection="1">
      <alignment horizontal="left" vertical="center" wrapText="1"/>
    </xf>
    <xf numFmtId="0" fontId="59" fillId="19" borderId="94" xfId="2" applyFont="1" applyFill="1" applyBorder="1" applyAlignment="1" applyProtection="1">
      <alignment horizontal="center" vertical="center" wrapText="1"/>
    </xf>
    <xf numFmtId="9" fontId="31" fillId="23" borderId="3" xfId="0" applyNumberFormat="1" applyFont="1" applyFill="1" applyBorder="1" applyAlignment="1" applyProtection="1">
      <alignment horizontal="center" vertical="center" wrapText="1"/>
    </xf>
    <xf numFmtId="0" fontId="29" fillId="2" borderId="45" xfId="0" applyFont="1" applyFill="1" applyBorder="1" applyAlignment="1" applyProtection="1">
      <alignment horizontal="center" vertical="center" wrapText="1"/>
      <protection locked="0"/>
    </xf>
    <xf numFmtId="0" fontId="32" fillId="2" borderId="69" xfId="0" quotePrefix="1" applyFont="1" applyFill="1" applyBorder="1" applyAlignment="1" applyProtection="1">
      <alignment horizontal="left" vertical="center" wrapText="1"/>
      <protection locked="0"/>
    </xf>
    <xf numFmtId="0" fontId="29" fillId="2" borderId="65" xfId="0" applyFont="1" applyFill="1" applyBorder="1" applyAlignment="1" applyProtection="1">
      <alignment horizontal="center" vertical="center" wrapText="1"/>
      <protection locked="0"/>
    </xf>
    <xf numFmtId="0" fontId="32" fillId="2" borderId="69" xfId="0" quotePrefix="1" applyFont="1" applyFill="1" applyBorder="1" applyAlignment="1" applyProtection="1">
      <alignment horizontal="left" vertical="center" wrapText="1"/>
      <protection locked="0"/>
    </xf>
    <xf numFmtId="0" fontId="7" fillId="6" borderId="8" xfId="0" applyFont="1" applyFill="1" applyBorder="1" applyAlignment="1" applyProtection="1">
      <alignment horizontal="left" vertical="center"/>
    </xf>
    <xf numFmtId="0" fontId="7" fillId="6" borderId="0" xfId="0" applyFont="1" applyFill="1" applyBorder="1" applyAlignment="1" applyProtection="1">
      <alignment horizontal="left" vertical="center"/>
    </xf>
    <xf numFmtId="0" fontId="36" fillId="6" borderId="44" xfId="0" applyFont="1" applyFill="1" applyBorder="1" applyProtection="1"/>
    <xf numFmtId="0" fontId="7" fillId="6" borderId="13" xfId="0" applyFont="1" applyFill="1" applyBorder="1" applyAlignment="1" applyProtection="1">
      <alignment horizontal="left" vertical="center"/>
    </xf>
    <xf numFmtId="0" fontId="7" fillId="6" borderId="44" xfId="0" applyFont="1" applyFill="1" applyBorder="1" applyAlignment="1" applyProtection="1">
      <alignment horizontal="left" vertical="center"/>
    </xf>
    <xf numFmtId="9" fontId="36" fillId="6" borderId="0" xfId="0" applyNumberFormat="1" applyFont="1" applyFill="1" applyBorder="1" applyProtection="1"/>
    <xf numFmtId="0" fontId="52" fillId="6" borderId="0" xfId="0" applyFont="1" applyFill="1" applyBorder="1" applyAlignment="1" applyProtection="1">
      <alignment vertical="top"/>
    </xf>
    <xf numFmtId="0" fontId="13" fillId="0" borderId="61" xfId="2" applyNumberFormat="1" applyFont="1" applyFill="1" applyBorder="1" applyAlignment="1" applyProtection="1">
      <alignment horizontal="center" vertical="center" wrapText="1"/>
    </xf>
    <xf numFmtId="0" fontId="59" fillId="16" borderId="100" xfId="2" applyNumberFormat="1" applyFont="1" applyFill="1" applyBorder="1" applyAlignment="1" applyProtection="1">
      <alignment horizontal="center" vertical="center" wrapText="1"/>
    </xf>
    <xf numFmtId="0" fontId="32" fillId="2" borderId="69" xfId="0" quotePrefix="1" applyFont="1" applyFill="1" applyBorder="1" applyAlignment="1" applyProtection="1">
      <alignment horizontal="left" vertical="center" wrapText="1"/>
      <protection locked="0"/>
    </xf>
    <xf numFmtId="0" fontId="13" fillId="0" borderId="101" xfId="2" applyNumberFormat="1" applyFont="1" applyFill="1" applyBorder="1" applyAlignment="1" applyProtection="1">
      <alignment horizontal="center" vertical="center" wrapText="1"/>
    </xf>
    <xf numFmtId="0" fontId="32" fillId="2" borderId="0" xfId="0" quotePrefix="1" applyFont="1" applyFill="1" applyBorder="1" applyAlignment="1" applyProtection="1">
      <alignment horizontal="left" vertical="center" wrapText="1"/>
      <protection locked="0"/>
    </xf>
    <xf numFmtId="0" fontId="13" fillId="27" borderId="49" xfId="0" applyNumberFormat="1" applyFont="1" applyFill="1" applyBorder="1" applyAlignment="1" applyProtection="1">
      <alignment horizontal="center" vertical="center"/>
    </xf>
    <xf numFmtId="9" fontId="13" fillId="27" borderId="10" xfId="0" applyNumberFormat="1" applyFont="1" applyFill="1" applyBorder="1" applyAlignment="1" applyProtection="1">
      <alignment horizontal="left" vertical="center"/>
    </xf>
    <xf numFmtId="9" fontId="13" fillId="28" borderId="10" xfId="0" applyNumberFormat="1" applyFont="1" applyFill="1" applyBorder="1" applyAlignment="1" applyProtection="1">
      <alignment horizontal="center" vertical="center"/>
    </xf>
    <xf numFmtId="9" fontId="13" fillId="28" borderId="50" xfId="0" applyNumberFormat="1" applyFont="1" applyFill="1" applyBorder="1" applyAlignment="1" applyProtection="1">
      <alignment horizontal="center" vertical="center" wrapText="1"/>
    </xf>
    <xf numFmtId="0" fontId="13" fillId="29" borderId="49" xfId="0" applyNumberFormat="1" applyFont="1" applyFill="1" applyBorder="1" applyAlignment="1" applyProtection="1">
      <alignment horizontal="center" vertical="center"/>
    </xf>
    <xf numFmtId="9" fontId="13" fillId="29" borderId="10" xfId="0" applyNumberFormat="1" applyFont="1" applyFill="1" applyBorder="1" applyAlignment="1" applyProtection="1">
      <alignment horizontal="left" vertical="center"/>
    </xf>
    <xf numFmtId="9" fontId="13" fillId="30" borderId="10" xfId="0" applyNumberFormat="1" applyFont="1" applyFill="1" applyBorder="1" applyAlignment="1" applyProtection="1">
      <alignment horizontal="center" vertical="center"/>
    </xf>
    <xf numFmtId="9" fontId="13" fillId="30" borderId="50" xfId="0" applyNumberFormat="1" applyFont="1" applyFill="1" applyBorder="1" applyAlignment="1" applyProtection="1">
      <alignment horizontal="center" vertical="center" wrapText="1"/>
    </xf>
    <xf numFmtId="9" fontId="73" fillId="31" borderId="9" xfId="0" applyNumberFormat="1" applyFont="1" applyFill="1" applyBorder="1" applyAlignment="1" applyProtection="1">
      <alignment horizontal="center" vertical="center"/>
    </xf>
    <xf numFmtId="0" fontId="73" fillId="31" borderId="10" xfId="0" applyNumberFormat="1" applyFont="1" applyFill="1" applyBorder="1" applyAlignment="1" applyProtection="1">
      <alignment horizontal="center" vertical="center"/>
    </xf>
    <xf numFmtId="9" fontId="73" fillId="31" borderId="10" xfId="0" applyNumberFormat="1" applyFont="1" applyFill="1" applyBorder="1" applyAlignment="1" applyProtection="1">
      <alignment horizontal="left" vertical="center"/>
    </xf>
    <xf numFmtId="9" fontId="73" fillId="31" borderId="10" xfId="0" applyNumberFormat="1" applyFont="1" applyFill="1" applyBorder="1" applyAlignment="1" applyProtection="1">
      <alignment horizontal="center" vertical="center"/>
    </xf>
    <xf numFmtId="9" fontId="73" fillId="31" borderId="16" xfId="0" applyNumberFormat="1" applyFont="1" applyFill="1" applyBorder="1" applyAlignment="1" applyProtection="1">
      <alignment horizontal="center" vertical="center"/>
    </xf>
    <xf numFmtId="9" fontId="73" fillId="31" borderId="15" xfId="0" applyNumberFormat="1" applyFont="1" applyFill="1" applyBorder="1" applyAlignment="1" applyProtection="1">
      <alignment horizontal="center" vertical="center"/>
    </xf>
    <xf numFmtId="9" fontId="73" fillId="28" borderId="9" xfId="0" applyNumberFormat="1" applyFont="1" applyFill="1" applyBorder="1" applyAlignment="1" applyProtection="1">
      <alignment horizontal="center" vertical="center"/>
    </xf>
    <xf numFmtId="0" fontId="73" fillId="28" borderId="10" xfId="0" applyNumberFormat="1" applyFont="1" applyFill="1" applyBorder="1" applyAlignment="1" applyProtection="1">
      <alignment horizontal="center" vertical="center"/>
    </xf>
    <xf numFmtId="9" fontId="73" fillId="28" borderId="10" xfId="0" applyNumberFormat="1" applyFont="1" applyFill="1" applyBorder="1" applyAlignment="1" applyProtection="1">
      <alignment horizontal="left" vertical="center"/>
    </xf>
    <xf numFmtId="9" fontId="73" fillId="28" borderId="10" xfId="0" applyNumberFormat="1" applyFont="1" applyFill="1" applyBorder="1" applyAlignment="1" applyProtection="1">
      <alignment horizontal="center" vertical="center"/>
    </xf>
    <xf numFmtId="9" fontId="73" fillId="28" borderId="16" xfId="0" applyNumberFormat="1" applyFont="1" applyFill="1" applyBorder="1" applyAlignment="1" applyProtection="1">
      <alignment horizontal="center" vertical="center"/>
    </xf>
    <xf numFmtId="9" fontId="73" fillId="28" borderId="15" xfId="0" applyNumberFormat="1" applyFont="1" applyFill="1" applyBorder="1" applyAlignment="1" applyProtection="1">
      <alignment horizontal="center" vertical="center"/>
    </xf>
    <xf numFmtId="9" fontId="73" fillId="30" borderId="9" xfId="0" applyNumberFormat="1" applyFont="1" applyFill="1" applyBorder="1" applyAlignment="1" applyProtection="1">
      <alignment horizontal="center" vertical="center"/>
    </xf>
    <xf numFmtId="0" fontId="73" fillId="30" borderId="10" xfId="0" applyNumberFormat="1" applyFont="1" applyFill="1" applyBorder="1" applyAlignment="1" applyProtection="1">
      <alignment horizontal="center" vertical="center"/>
    </xf>
    <xf numFmtId="9" fontId="73" fillId="30" borderId="10" xfId="0" applyNumberFormat="1" applyFont="1" applyFill="1" applyBorder="1" applyAlignment="1" applyProtection="1">
      <alignment horizontal="left" vertical="center"/>
    </xf>
    <xf numFmtId="9" fontId="73" fillId="30" borderId="10" xfId="0" applyNumberFormat="1" applyFont="1" applyFill="1" applyBorder="1" applyAlignment="1" applyProtection="1">
      <alignment horizontal="center" vertical="center"/>
    </xf>
    <xf numFmtId="9" fontId="73" fillId="30" borderId="16" xfId="0" applyNumberFormat="1" applyFont="1" applyFill="1" applyBorder="1" applyAlignment="1" applyProtection="1">
      <alignment horizontal="center" vertical="center"/>
    </xf>
    <xf numFmtId="9" fontId="73" fillId="30" borderId="15" xfId="0" applyNumberFormat="1" applyFont="1" applyFill="1" applyBorder="1" applyAlignment="1" applyProtection="1">
      <alignment horizontal="center" vertical="center"/>
    </xf>
    <xf numFmtId="0" fontId="73" fillId="9" borderId="10" xfId="0" applyNumberFormat="1" applyFont="1" applyFill="1" applyBorder="1" applyAlignment="1" applyProtection="1">
      <alignment horizontal="left" vertical="center"/>
    </xf>
    <xf numFmtId="0" fontId="68" fillId="0" borderId="0" xfId="0" applyFont="1" applyFill="1" applyProtection="1"/>
    <xf numFmtId="0" fontId="88" fillId="24" borderId="0" xfId="0" applyFont="1" applyFill="1" applyAlignment="1">
      <alignment horizontal="center"/>
    </xf>
    <xf numFmtId="0" fontId="52" fillId="0" borderId="17" xfId="0" applyFont="1" applyBorder="1" applyAlignment="1" applyProtection="1">
      <alignment vertical="center"/>
      <protection locked="0"/>
    </xf>
    <xf numFmtId="0" fontId="33" fillId="3" borderId="0" xfId="0" applyNumberFormat="1" applyFont="1" applyFill="1" applyBorder="1" applyAlignment="1" applyProtection="1">
      <alignment vertical="center" wrapText="1"/>
      <protection locked="0"/>
    </xf>
    <xf numFmtId="0" fontId="29" fillId="3" borderId="5" xfId="0" applyNumberFormat="1" applyFont="1" applyFill="1" applyBorder="1" applyAlignment="1" applyProtection="1">
      <alignment horizontal="left" vertical="center" wrapText="1"/>
      <protection locked="0"/>
    </xf>
    <xf numFmtId="0" fontId="29" fillId="3" borderId="44" xfId="0" applyNumberFormat="1" applyFont="1" applyFill="1" applyBorder="1" applyAlignment="1" applyProtection="1">
      <alignment horizontal="left" vertical="center" wrapText="1"/>
      <protection locked="0"/>
    </xf>
    <xf numFmtId="0" fontId="88" fillId="24" borderId="0" xfId="0" applyFont="1" applyFill="1" applyAlignment="1">
      <alignment horizontal="center"/>
    </xf>
    <xf numFmtId="0" fontId="88" fillId="0" borderId="80" xfId="0" applyFont="1" applyFill="1" applyBorder="1" applyAlignment="1">
      <alignment horizontal="center" vertical="center"/>
    </xf>
    <xf numFmtId="0" fontId="88" fillId="0" borderId="81" xfId="0" applyFont="1" applyFill="1" applyBorder="1" applyAlignment="1">
      <alignment horizontal="center" vertical="center"/>
    </xf>
    <xf numFmtId="0" fontId="88" fillId="0" borderId="82" xfId="0" applyFont="1" applyFill="1" applyBorder="1" applyAlignment="1">
      <alignment horizontal="center" vertical="center"/>
    </xf>
    <xf numFmtId="0" fontId="92" fillId="24" borderId="0" xfId="0" applyFont="1" applyFill="1" applyAlignment="1" applyProtection="1">
      <alignment horizontal="center" vertical="center"/>
    </xf>
    <xf numFmtId="0" fontId="88" fillId="24" borderId="86" xfId="0" applyFont="1" applyFill="1" applyBorder="1" applyAlignment="1">
      <alignment horizontal="center"/>
    </xf>
    <xf numFmtId="0" fontId="88" fillId="0" borderId="83" xfId="0" applyFont="1" applyFill="1" applyBorder="1" applyAlignment="1">
      <alignment horizontal="center" vertical="center" wrapText="1"/>
    </xf>
    <xf numFmtId="0" fontId="13" fillId="0" borderId="102" xfId="2" applyNumberFormat="1" applyFont="1" applyFill="1" applyBorder="1" applyAlignment="1" applyProtection="1">
      <alignment horizontal="center" vertical="center" wrapText="1"/>
    </xf>
    <xf numFmtId="0" fontId="32" fillId="2" borderId="69" xfId="0" quotePrefix="1" applyFont="1" applyFill="1" applyBorder="1" applyAlignment="1" applyProtection="1">
      <alignment horizontal="left" vertical="center" wrapText="1"/>
      <protection locked="0"/>
    </xf>
    <xf numFmtId="0" fontId="88" fillId="24" borderId="0" xfId="0" applyFont="1" applyFill="1" applyAlignment="1">
      <alignment horizontal="center" vertical="top" wrapText="1"/>
    </xf>
    <xf numFmtId="0" fontId="88" fillId="0" borderId="103" xfId="0" applyFont="1" applyFill="1" applyBorder="1" applyAlignment="1">
      <alignment horizontal="center" vertical="center"/>
    </xf>
    <xf numFmtId="0" fontId="88" fillId="0" borderId="84" xfId="0" applyFont="1" applyFill="1" applyBorder="1" applyAlignment="1">
      <alignment horizontal="center" vertical="center" wrapText="1"/>
    </xf>
    <xf numFmtId="0" fontId="88" fillId="0" borderId="85" xfId="0" applyFont="1" applyFill="1" applyBorder="1" applyAlignment="1">
      <alignment horizontal="center" vertical="center" wrapText="1"/>
    </xf>
    <xf numFmtId="0" fontId="88" fillId="0" borderId="86"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87" xfId="0" applyFont="1" applyFill="1" applyBorder="1" applyAlignment="1">
      <alignment horizontal="center" vertical="center" wrapText="1"/>
    </xf>
    <xf numFmtId="0" fontId="88" fillId="0" borderId="88" xfId="0" applyFont="1" applyFill="1" applyBorder="1" applyAlignment="1">
      <alignment horizontal="center" vertical="center" wrapText="1"/>
    </xf>
    <xf numFmtId="0" fontId="88" fillId="0" borderId="89" xfId="0" applyFont="1" applyFill="1" applyBorder="1" applyAlignment="1">
      <alignment horizontal="center" vertical="center" wrapText="1"/>
    </xf>
    <xf numFmtId="0" fontId="88" fillId="0" borderId="90" xfId="0" applyFont="1" applyFill="1" applyBorder="1" applyAlignment="1">
      <alignment horizontal="center" vertical="center" wrapText="1"/>
    </xf>
    <xf numFmtId="9" fontId="2" fillId="28" borderId="10" xfId="0" applyNumberFormat="1" applyFont="1" applyFill="1" applyBorder="1" applyAlignment="1" applyProtection="1">
      <alignment horizontal="center" vertical="center"/>
    </xf>
    <xf numFmtId="9" fontId="2" fillId="30" borderId="10" xfId="0" applyNumberFormat="1" applyFont="1" applyFill="1" applyBorder="1" applyAlignment="1" applyProtection="1">
      <alignment horizontal="center" vertical="center"/>
    </xf>
    <xf numFmtId="9" fontId="2" fillId="12" borderId="10" xfId="0" applyNumberFormat="1" applyFont="1" applyFill="1" applyBorder="1" applyAlignment="1" applyProtection="1">
      <alignment horizontal="center" vertical="center"/>
    </xf>
    <xf numFmtId="9" fontId="2" fillId="9" borderId="10" xfId="0" applyNumberFormat="1" applyFont="1" applyFill="1" applyBorder="1" applyAlignment="1" applyProtection="1">
      <alignment horizontal="center" vertical="center"/>
    </xf>
    <xf numFmtId="9" fontId="93" fillId="12" borderId="0" xfId="0" applyNumberFormat="1" applyFont="1" applyFill="1" applyBorder="1" applyAlignment="1" applyProtection="1">
      <alignment horizontal="center" vertical="center"/>
    </xf>
    <xf numFmtId="0" fontId="29" fillId="3" borderId="45" xfId="0" applyNumberFormat="1" applyFont="1" applyFill="1" applyBorder="1" applyAlignment="1" applyProtection="1">
      <alignment horizontal="left" vertical="center" wrapText="1"/>
      <protection locked="0"/>
    </xf>
    <xf numFmtId="0" fontId="29" fillId="3" borderId="72" xfId="0" applyNumberFormat="1" applyFont="1" applyFill="1" applyBorder="1" applyAlignment="1" applyProtection="1">
      <alignment horizontal="left" vertical="center" wrapText="1"/>
      <protection locked="0"/>
    </xf>
    <xf numFmtId="0" fontId="88" fillId="0" borderId="80" xfId="0" applyFont="1" applyFill="1" applyBorder="1" applyAlignment="1">
      <alignment vertical="center"/>
    </xf>
    <xf numFmtId="0" fontId="88" fillId="0" borderId="81" xfId="0" applyFont="1" applyFill="1" applyBorder="1" applyAlignment="1">
      <alignment vertical="center"/>
    </xf>
    <xf numFmtId="0" fontId="88" fillId="0" borderId="82" xfId="0" applyFont="1" applyFill="1" applyBorder="1" applyAlignment="1">
      <alignment vertical="center"/>
    </xf>
    <xf numFmtId="0" fontId="88" fillId="24" borderId="0" xfId="0" applyFont="1" applyFill="1" applyAlignment="1"/>
    <xf numFmtId="0" fontId="88" fillId="0" borderId="83" xfId="0" applyFont="1" applyFill="1" applyBorder="1" applyAlignment="1">
      <alignment vertical="center" wrapText="1"/>
    </xf>
    <xf numFmtId="0" fontId="88" fillId="0" borderId="85" xfId="0" applyFont="1" applyFill="1" applyBorder="1" applyAlignment="1">
      <alignment vertical="center"/>
    </xf>
    <xf numFmtId="0" fontId="88" fillId="0" borderId="86" xfId="0" applyFont="1" applyFill="1" applyBorder="1" applyAlignment="1">
      <alignment vertical="center"/>
    </xf>
    <xf numFmtId="0" fontId="88" fillId="0" borderId="87" xfId="0" applyFont="1" applyFill="1" applyBorder="1" applyAlignment="1">
      <alignment vertical="center"/>
    </xf>
    <xf numFmtId="0" fontId="88" fillId="0" borderId="88" xfId="0" applyFont="1" applyFill="1" applyBorder="1" applyAlignment="1">
      <alignment vertical="center"/>
    </xf>
    <xf numFmtId="0" fontId="88" fillId="0" borderId="90" xfId="0" applyFont="1" applyFill="1" applyBorder="1" applyAlignment="1">
      <alignment vertical="center"/>
    </xf>
    <xf numFmtId="166" fontId="88" fillId="0" borderId="80" xfId="0" applyNumberFormat="1" applyFont="1" applyFill="1" applyBorder="1" applyAlignment="1">
      <alignment vertical="center"/>
    </xf>
    <xf numFmtId="166" fontId="88" fillId="0" borderId="81" xfId="0" applyNumberFormat="1" applyFont="1" applyFill="1" applyBorder="1" applyAlignment="1">
      <alignment vertical="center"/>
    </xf>
    <xf numFmtId="0" fontId="89" fillId="0" borderId="80" xfId="1" applyFont="1" applyFill="1" applyBorder="1" applyAlignment="1">
      <alignment vertical="center"/>
    </xf>
    <xf numFmtId="0" fontId="88" fillId="24" borderId="86" xfId="0" applyFont="1" applyFill="1" applyBorder="1" applyAlignment="1">
      <alignment horizontal="left"/>
    </xf>
    <xf numFmtId="0" fontId="87" fillId="24" borderId="0" xfId="0" applyFont="1" applyFill="1" applyAlignment="1">
      <alignment horizontal="center"/>
    </xf>
    <xf numFmtId="0" fontId="0" fillId="0" borderId="84" xfId="0" applyBorder="1"/>
    <xf numFmtId="0" fontId="0" fillId="0" borderId="89" xfId="0" applyBorder="1"/>
    <xf numFmtId="14" fontId="71" fillId="4" borderId="0" xfId="0" applyNumberFormat="1" applyFont="1" applyFill="1" applyAlignment="1">
      <alignment horizontal="right"/>
    </xf>
    <xf numFmtId="0" fontId="32" fillId="2" borderId="69" xfId="0" quotePrefix="1" applyFont="1" applyFill="1" applyBorder="1" applyAlignment="1" applyProtection="1">
      <alignment horizontal="left" vertical="center" wrapText="1"/>
      <protection locked="0"/>
    </xf>
    <xf numFmtId="0" fontId="13" fillId="0" borderId="102" xfId="2" applyNumberFormat="1" applyFont="1" applyFill="1" applyBorder="1" applyAlignment="1" applyProtection="1">
      <alignment horizontal="center" vertical="center" wrapText="1"/>
    </xf>
    <xf numFmtId="0" fontId="32" fillId="2" borderId="69" xfId="0" quotePrefix="1" applyFont="1" applyFill="1" applyBorder="1" applyAlignment="1" applyProtection="1">
      <alignment horizontal="left" vertical="center" wrapText="1"/>
      <protection locked="0"/>
    </xf>
    <xf numFmtId="0" fontId="32" fillId="30" borderId="1" xfId="0" applyNumberFormat="1" applyFont="1" applyFill="1" applyBorder="1" applyAlignment="1" applyProtection="1">
      <alignment horizontal="left" vertical="center" wrapText="1"/>
    </xf>
    <xf numFmtId="0" fontId="32" fillId="2" borderId="69" xfId="0" quotePrefix="1" applyFont="1" applyFill="1" applyBorder="1" applyAlignment="1" applyProtection="1">
      <alignment horizontal="left" vertical="center" wrapText="1"/>
      <protection locked="0"/>
    </xf>
    <xf numFmtId="0" fontId="32" fillId="2" borderId="1" xfId="0" applyFont="1" applyFill="1" applyBorder="1" applyAlignment="1" applyProtection="1">
      <alignment horizontal="center" vertical="center" wrapText="1"/>
      <protection locked="0"/>
    </xf>
    <xf numFmtId="0" fontId="68" fillId="0" borderId="0" xfId="0" applyFont="1" applyProtection="1"/>
    <xf numFmtId="0" fontId="32" fillId="2" borderId="69" xfId="0" quotePrefix="1" applyFont="1" applyFill="1" applyBorder="1" applyAlignment="1" applyProtection="1">
      <alignment horizontal="left" vertical="center" wrapText="1"/>
      <protection locked="0"/>
    </xf>
    <xf numFmtId="0" fontId="29" fillId="2" borderId="65" xfId="0" applyFont="1" applyFill="1" applyBorder="1" applyAlignment="1" applyProtection="1">
      <alignment horizontal="center" vertical="center" wrapText="1"/>
      <protection locked="0"/>
    </xf>
    <xf numFmtId="0" fontId="32" fillId="2" borderId="65" xfId="0" applyFont="1" applyFill="1" applyBorder="1" applyAlignment="1" applyProtection="1">
      <alignment horizontal="center" vertical="center" wrapText="1"/>
      <protection locked="0"/>
    </xf>
    <xf numFmtId="0" fontId="95" fillId="0" borderId="65" xfId="0" applyNumberFormat="1" applyFont="1" applyFill="1" applyBorder="1" applyAlignment="1" applyProtection="1">
      <alignment horizontal="left" vertical="center" wrapText="1"/>
    </xf>
    <xf numFmtId="0" fontId="32" fillId="0" borderId="65" xfId="0" applyNumberFormat="1" applyFont="1" applyFill="1" applyBorder="1" applyAlignment="1" applyProtection="1">
      <alignment horizontal="left" vertical="center" wrapText="1"/>
    </xf>
    <xf numFmtId="0" fontId="95" fillId="0" borderId="1" xfId="0" applyNumberFormat="1" applyFont="1" applyFill="1" applyBorder="1" applyAlignment="1" applyProtection="1">
      <alignment horizontal="left" vertical="center" wrapText="1"/>
    </xf>
    <xf numFmtId="0" fontId="13" fillId="0" borderId="68" xfId="2" applyNumberFormat="1" applyFont="1" applyFill="1" applyBorder="1" applyAlignment="1" applyProtection="1">
      <alignment horizontal="center" vertical="center" wrapText="1"/>
    </xf>
    <xf numFmtId="0" fontId="32" fillId="2" borderId="69" xfId="0" quotePrefix="1" applyFont="1" applyFill="1" applyBorder="1" applyAlignment="1" applyProtection="1">
      <alignment horizontal="left" vertical="center" wrapText="1"/>
      <protection locked="0"/>
    </xf>
    <xf numFmtId="0" fontId="32" fillId="0" borderId="69" xfId="0" quotePrefix="1" applyFont="1" applyFill="1" applyBorder="1" applyAlignment="1" applyProtection="1">
      <alignment horizontal="left" vertical="center" wrapText="1"/>
      <protection locked="0"/>
    </xf>
    <xf numFmtId="0" fontId="32" fillId="2" borderId="69" xfId="0" quotePrefix="1" applyFont="1" applyFill="1" applyBorder="1" applyAlignment="1" applyProtection="1">
      <alignment horizontal="left" vertical="center" wrapText="1"/>
      <protection locked="0"/>
    </xf>
    <xf numFmtId="0" fontId="32" fillId="0" borderId="18" xfId="0" applyNumberFormat="1" applyFont="1" applyFill="1" applyBorder="1" applyAlignment="1" applyProtection="1">
      <alignment horizontal="center" vertical="center" wrapText="1"/>
    </xf>
    <xf numFmtId="0" fontId="30" fillId="0" borderId="18" xfId="0" applyNumberFormat="1" applyFont="1" applyFill="1" applyBorder="1" applyAlignment="1" applyProtection="1">
      <alignment horizontal="center" vertical="center"/>
    </xf>
    <xf numFmtId="9" fontId="30" fillId="0" borderId="1" xfId="0" applyNumberFormat="1" applyFont="1" applyFill="1" applyBorder="1" applyAlignment="1" applyProtection="1">
      <alignment horizontal="center" vertical="center"/>
    </xf>
    <xf numFmtId="0" fontId="32" fillId="0" borderId="1" xfId="0" quotePrefix="1" applyNumberFormat="1" applyFont="1" applyFill="1" applyBorder="1" applyAlignment="1" applyProtection="1">
      <alignment horizontal="left" vertical="center" wrapText="1"/>
    </xf>
    <xf numFmtId="0" fontId="32" fillId="0" borderId="1" xfId="0" quotePrefix="1" applyFont="1" applyFill="1" applyBorder="1" applyAlignment="1" applyProtection="1">
      <alignment horizontal="left" vertical="center" wrapText="1"/>
      <protection locked="0"/>
    </xf>
    <xf numFmtId="0" fontId="31" fillId="5" borderId="55" xfId="0" applyFont="1" applyFill="1" applyBorder="1" applyAlignment="1" applyProtection="1">
      <alignment horizontal="right" vertical="center"/>
    </xf>
    <xf numFmtId="0" fontId="31" fillId="5" borderId="45" xfId="0" applyFont="1" applyFill="1" applyBorder="1" applyAlignment="1" applyProtection="1">
      <alignment vertical="center"/>
    </xf>
    <xf numFmtId="0" fontId="0" fillId="0" borderId="0" xfId="0" quotePrefix="1" applyAlignment="1">
      <alignment wrapText="1"/>
    </xf>
    <xf numFmtId="0" fontId="96" fillId="0" borderId="0" xfId="0" applyFont="1" applyAlignment="1">
      <alignment wrapText="1"/>
    </xf>
    <xf numFmtId="0" fontId="97" fillId="2" borderId="1" xfId="0" applyFont="1" applyFill="1" applyBorder="1" applyAlignment="1" applyProtection="1">
      <alignment horizontal="center" vertical="center" wrapText="1"/>
      <protection locked="0"/>
    </xf>
    <xf numFmtId="0" fontId="97" fillId="2" borderId="69" xfId="0" applyFont="1" applyFill="1" applyBorder="1" applyAlignment="1" applyProtection="1">
      <alignment vertical="center" wrapText="1"/>
      <protection locked="0"/>
    </xf>
    <xf numFmtId="0" fontId="97" fillId="2" borderId="91" xfId="0" applyFont="1" applyFill="1" applyBorder="1" applyAlignment="1" applyProtection="1">
      <alignment vertical="center" wrapText="1"/>
      <protection locked="0"/>
    </xf>
    <xf numFmtId="0" fontId="97" fillId="2" borderId="65" xfId="0" applyFont="1" applyFill="1" applyBorder="1" applyAlignment="1" applyProtection="1">
      <alignment vertical="center" wrapText="1"/>
      <protection locked="0"/>
    </xf>
    <xf numFmtId="0" fontId="97" fillId="2" borderId="91" xfId="0" applyFont="1" applyFill="1" applyBorder="1" applyAlignment="1" applyProtection="1">
      <alignment horizontal="center" vertical="center" wrapText="1"/>
      <protection locked="0"/>
    </xf>
    <xf numFmtId="9" fontId="29" fillId="2" borderId="45" xfId="7" applyFont="1" applyFill="1" applyBorder="1" applyAlignment="1" applyProtection="1">
      <alignment horizontal="center" vertical="center" wrapText="1"/>
      <protection locked="0"/>
    </xf>
    <xf numFmtId="9" fontId="31" fillId="23" borderId="3" xfId="7" applyFont="1" applyFill="1" applyBorder="1" applyAlignment="1" applyProtection="1">
      <alignment horizontal="center" vertical="center" wrapText="1"/>
    </xf>
    <xf numFmtId="9" fontId="31" fillId="21" borderId="67" xfId="7" applyFont="1" applyFill="1" applyBorder="1" applyAlignment="1" applyProtection="1">
      <alignment horizontal="center" vertical="center" wrapText="1"/>
    </xf>
    <xf numFmtId="14" fontId="29" fillId="2" borderId="45" xfId="0" applyNumberFormat="1" applyFont="1" applyFill="1" applyBorder="1" applyAlignment="1" applyProtection="1">
      <alignment horizontal="center" vertical="center" wrapText="1"/>
      <protection locked="0"/>
    </xf>
    <xf numFmtId="14" fontId="31" fillId="23" borderId="3" xfId="0" applyNumberFormat="1" applyFont="1" applyFill="1" applyBorder="1" applyAlignment="1" applyProtection="1">
      <alignment horizontal="center" vertical="center" wrapText="1"/>
    </xf>
    <xf numFmtId="14" fontId="31" fillId="21" borderId="67" xfId="0" applyNumberFormat="1" applyFont="1" applyFill="1" applyBorder="1" applyAlignment="1" applyProtection="1">
      <alignment horizontal="center" vertical="center" wrapText="1"/>
    </xf>
    <xf numFmtId="0" fontId="32" fillId="0" borderId="1" xfId="0" applyNumberFormat="1" applyFont="1" applyFill="1" applyBorder="1" applyAlignment="1" applyProtection="1">
      <alignment horizontal="center" vertical="center" wrapText="1"/>
    </xf>
    <xf numFmtId="0" fontId="32" fillId="2" borderId="69" xfId="0" quotePrefix="1" applyFont="1" applyFill="1" applyBorder="1" applyAlignment="1" applyProtection="1">
      <alignment horizontal="left" vertical="center" wrapText="1"/>
      <protection locked="0"/>
    </xf>
    <xf numFmtId="0" fontId="32" fillId="2" borderId="69" xfId="0" quotePrefix="1" applyFont="1" applyFill="1" applyBorder="1" applyAlignment="1" applyProtection="1">
      <alignment horizontal="left" vertical="center" wrapText="1"/>
      <protection locked="0"/>
    </xf>
    <xf numFmtId="0" fontId="32" fillId="32" borderId="1" xfId="0" quotePrefix="1" applyNumberFormat="1" applyFont="1" applyFill="1" applyBorder="1" applyAlignment="1" applyProtection="1">
      <alignment horizontal="left" vertical="center" wrapText="1"/>
    </xf>
    <xf numFmtId="0" fontId="87" fillId="24" borderId="0" xfId="0" applyFont="1" applyFill="1" applyBorder="1" applyAlignment="1">
      <alignment horizontal="center" vertical="center"/>
    </xf>
    <xf numFmtId="0" fontId="88" fillId="24" borderId="0" xfId="0" applyFont="1" applyFill="1" applyBorder="1" applyAlignment="1">
      <alignment horizontal="center" vertical="center"/>
    </xf>
    <xf numFmtId="0" fontId="46" fillId="2" borderId="0" xfId="0" applyNumberFormat="1" applyFont="1" applyFill="1" applyBorder="1" applyAlignment="1" applyProtection="1">
      <alignment horizontal="right" vertical="center"/>
    </xf>
    <xf numFmtId="0" fontId="0" fillId="33" borderId="0" xfId="0" applyFill="1"/>
    <xf numFmtId="0" fontId="13" fillId="0" borderId="61" xfId="2" applyNumberFormat="1" applyFont="1" applyFill="1" applyBorder="1" applyAlignment="1" applyProtection="1">
      <alignment horizontal="center" vertical="center" wrapText="1"/>
    </xf>
    <xf numFmtId="0" fontId="13" fillId="0" borderId="106" xfId="2" applyNumberFormat="1" applyFont="1" applyFill="1" applyBorder="1" applyAlignment="1" applyProtection="1">
      <alignment horizontal="center" vertical="center" wrapText="1"/>
    </xf>
    <xf numFmtId="0" fontId="0" fillId="33" borderId="0" xfId="0" applyNumberFormat="1" applyFill="1"/>
    <xf numFmtId="0" fontId="0" fillId="0" borderId="0" xfId="0" applyNumberFormat="1"/>
    <xf numFmtId="0" fontId="32" fillId="2" borderId="69" xfId="0" quotePrefix="1" applyFont="1" applyFill="1" applyBorder="1" applyAlignment="1" applyProtection="1">
      <alignment vertical="center" wrapText="1"/>
      <protection locked="0"/>
    </xf>
    <xf numFmtId="0" fontId="32" fillId="2" borderId="91" xfId="0" quotePrefix="1" applyFont="1" applyFill="1" applyBorder="1" applyAlignment="1" applyProtection="1">
      <alignment vertical="center" wrapText="1"/>
      <protection locked="0"/>
    </xf>
    <xf numFmtId="0" fontId="103" fillId="2" borderId="91" xfId="0" applyFont="1" applyFill="1" applyBorder="1" applyAlignment="1" applyProtection="1">
      <alignment horizontal="center" vertical="center" wrapText="1"/>
      <protection locked="0"/>
    </xf>
    <xf numFmtId="0" fontId="32" fillId="2" borderId="1" xfId="0" quotePrefix="1" applyFont="1" applyFill="1" applyBorder="1" applyAlignment="1" applyProtection="1">
      <alignment vertical="center" wrapText="1"/>
      <protection locked="0"/>
    </xf>
    <xf numFmtId="0" fontId="32" fillId="2" borderId="69" xfId="0" quotePrefix="1" applyFont="1" applyFill="1" applyBorder="1" applyAlignment="1" applyProtection="1">
      <alignment horizontal="left" vertical="center" wrapText="1"/>
      <protection locked="0"/>
    </xf>
    <xf numFmtId="0" fontId="32" fillId="0" borderId="65" xfId="0" applyNumberFormat="1" applyFont="1" applyFill="1" applyBorder="1" applyAlignment="1" applyProtection="1">
      <alignment horizontal="left" vertical="center" wrapText="1"/>
    </xf>
    <xf numFmtId="0" fontId="13" fillId="0" borderId="120" xfId="2" applyNumberFormat="1" applyFont="1" applyFill="1" applyBorder="1" applyAlignment="1" applyProtection="1">
      <alignment horizontal="center" vertical="center" wrapText="1"/>
    </xf>
    <xf numFmtId="14" fontId="0" fillId="33" borderId="0" xfId="0" applyNumberFormat="1" applyFill="1" applyAlignment="1">
      <alignment horizontal="center"/>
    </xf>
    <xf numFmtId="14" fontId="32" fillId="0" borderId="1" xfId="0" applyNumberFormat="1" applyFont="1" applyFill="1" applyBorder="1" applyAlignment="1" applyProtection="1">
      <alignment horizontal="left" vertical="center" wrapText="1"/>
    </xf>
    <xf numFmtId="14" fontId="0" fillId="0" borderId="0" xfId="0" applyNumberFormat="1"/>
    <xf numFmtId="0" fontId="0" fillId="33" borderId="0" xfId="0" applyNumberFormat="1" applyFill="1" applyAlignment="1">
      <alignment horizontal="center"/>
    </xf>
    <xf numFmtId="9" fontId="31" fillId="20" borderId="75" xfId="0" applyNumberFormat="1" applyFont="1" applyFill="1" applyBorder="1" applyAlignment="1" applyProtection="1">
      <alignment horizontal="center" vertical="center" wrapText="1"/>
    </xf>
    <xf numFmtId="0" fontId="13" fillId="5" borderId="5" xfId="0" applyNumberFormat="1" applyFont="1" applyFill="1" applyBorder="1" applyAlignment="1" applyProtection="1">
      <alignment vertical="center"/>
    </xf>
    <xf numFmtId="0" fontId="13" fillId="5" borderId="0" xfId="0" applyNumberFormat="1" applyFont="1" applyFill="1" applyBorder="1" applyAlignment="1" applyProtection="1">
      <alignment vertical="center"/>
    </xf>
    <xf numFmtId="0" fontId="13" fillId="5" borderId="44" xfId="0" applyNumberFormat="1" applyFont="1" applyFill="1" applyBorder="1" applyAlignment="1" applyProtection="1">
      <alignment vertical="center"/>
    </xf>
    <xf numFmtId="14" fontId="32" fillId="6" borderId="1" xfId="0" applyNumberFormat="1" applyFont="1" applyFill="1" applyBorder="1" applyAlignment="1" applyProtection="1">
      <alignment horizontal="left" vertical="center" wrapText="1"/>
    </xf>
    <xf numFmtId="10" fontId="0" fillId="33" borderId="0" xfId="0" applyNumberFormat="1" applyFill="1"/>
    <xf numFmtId="10" fontId="32" fillId="6" borderId="1" xfId="0" applyNumberFormat="1" applyFont="1" applyFill="1" applyBorder="1" applyAlignment="1" applyProtection="1">
      <alignment horizontal="left" vertical="center" wrapText="1"/>
    </xf>
    <xf numFmtId="10" fontId="0" fillId="0" borderId="0" xfId="0" applyNumberFormat="1"/>
    <xf numFmtId="0" fontId="0" fillId="0" borderId="0" xfId="0" applyFill="1" applyProtection="1"/>
    <xf numFmtId="0" fontId="74" fillId="0" borderId="0" xfId="0" applyFont="1" applyFill="1" applyAlignment="1" applyProtection="1">
      <alignment vertical="top"/>
    </xf>
    <xf numFmtId="0" fontId="31" fillId="20" borderId="75" xfId="0" applyNumberFormat="1" applyFont="1" applyFill="1" applyBorder="1" applyAlignment="1" applyProtection="1">
      <alignment horizontal="center" vertical="center" wrapText="1"/>
    </xf>
    <xf numFmtId="0" fontId="97" fillId="20" borderId="69" xfId="0" applyFont="1" applyFill="1" applyBorder="1" applyAlignment="1" applyProtection="1">
      <alignment vertical="center" wrapText="1"/>
      <protection locked="0"/>
    </xf>
    <xf numFmtId="0" fontId="97" fillId="20" borderId="1" xfId="0" applyFont="1" applyFill="1" applyBorder="1" applyAlignment="1" applyProtection="1">
      <alignment horizontal="center" vertical="center" wrapText="1"/>
      <protection locked="0"/>
    </xf>
    <xf numFmtId="14" fontId="31" fillId="20" borderId="67" xfId="0" applyNumberFormat="1" applyFont="1" applyFill="1" applyBorder="1" applyAlignment="1" applyProtection="1">
      <alignment horizontal="center" vertical="center" wrapText="1"/>
    </xf>
    <xf numFmtId="9" fontId="31" fillId="20" borderId="67" xfId="7" applyFont="1" applyFill="1" applyBorder="1" applyAlignment="1" applyProtection="1">
      <alignment horizontal="center" vertical="center" wrapText="1"/>
    </xf>
    <xf numFmtId="0" fontId="58" fillId="0" borderId="16" xfId="0" applyFont="1" applyBorder="1" applyAlignment="1" applyProtection="1">
      <alignment vertical="center"/>
    </xf>
    <xf numFmtId="0" fontId="6" fillId="2" borderId="0" xfId="0" applyFont="1" applyFill="1" applyBorder="1" applyAlignment="1" applyProtection="1">
      <alignment horizontal="left" vertical="center"/>
    </xf>
    <xf numFmtId="14" fontId="46" fillId="2" borderId="0" xfId="0" applyNumberFormat="1" applyFont="1" applyFill="1" applyBorder="1" applyAlignment="1" applyProtection="1">
      <alignment horizontal="right" vertical="center"/>
    </xf>
    <xf numFmtId="0" fontId="68" fillId="0" borderId="0" xfId="0" applyFont="1" applyFill="1"/>
    <xf numFmtId="0" fontId="81" fillId="0" borderId="0" xfId="0" applyFont="1" applyFill="1"/>
    <xf numFmtId="0" fontId="91" fillId="0" borderId="70" xfId="0" applyFont="1" applyBorder="1" applyAlignment="1">
      <alignment vertical="center" wrapText="1"/>
    </xf>
    <xf numFmtId="0" fontId="91" fillId="0" borderId="70" xfId="0" applyFont="1" applyBorder="1" applyAlignment="1">
      <alignment vertical="center"/>
    </xf>
    <xf numFmtId="0" fontId="91" fillId="0" borderId="70" xfId="0" applyFont="1" applyBorder="1" applyAlignment="1">
      <alignment horizontal="left" vertical="center"/>
    </xf>
    <xf numFmtId="0" fontId="32" fillId="2" borderId="69" xfId="0" quotePrefix="1" applyFont="1" applyFill="1" applyBorder="1" applyAlignment="1" applyProtection="1">
      <alignment horizontal="left" vertical="center" wrapText="1"/>
      <protection locked="0"/>
    </xf>
    <xf numFmtId="0" fontId="113" fillId="4" borderId="0" xfId="2" applyFont="1" applyFill="1" applyBorder="1" applyAlignment="1" applyProtection="1">
      <alignment horizontal="center" vertical="top"/>
    </xf>
    <xf numFmtId="0" fontId="113" fillId="4" borderId="0" xfId="2" applyFont="1" applyFill="1" applyBorder="1" applyAlignment="1" applyProtection="1">
      <alignment vertical="top"/>
    </xf>
    <xf numFmtId="0" fontId="113" fillId="4" borderId="0" xfId="2" applyFont="1" applyFill="1" applyBorder="1" applyProtection="1"/>
    <xf numFmtId="0" fontId="113" fillId="4" borderId="0" xfId="0" applyFont="1" applyFill="1" applyProtection="1"/>
    <xf numFmtId="0" fontId="113" fillId="4" borderId="0" xfId="0" applyFont="1" applyFill="1" applyBorder="1" applyProtection="1"/>
    <xf numFmtId="0" fontId="113" fillId="4" borderId="0" xfId="2" applyFont="1" applyFill="1" applyBorder="1" applyAlignment="1" applyProtection="1">
      <alignment vertical="center" wrapText="1"/>
    </xf>
    <xf numFmtId="0" fontId="53" fillId="0" borderId="0" xfId="0" applyFont="1" applyFill="1" applyBorder="1" applyProtection="1"/>
    <xf numFmtId="0" fontId="113" fillId="4" borderId="0" xfId="2" applyFont="1" applyFill="1" applyBorder="1" applyAlignment="1" applyProtection="1">
      <alignment horizontal="center"/>
    </xf>
    <xf numFmtId="0" fontId="114" fillId="4" borderId="0" xfId="0" applyFont="1" applyFill="1" applyProtection="1"/>
    <xf numFmtId="0" fontId="59" fillId="4" borderId="0" xfId="0" applyFont="1" applyFill="1" applyBorder="1" applyAlignment="1" applyProtection="1">
      <alignment vertical="center"/>
    </xf>
    <xf numFmtId="0" fontId="113" fillId="4" borderId="0" xfId="0" applyFont="1" applyFill="1" applyBorder="1" applyAlignment="1" applyProtection="1">
      <alignment horizontal="left" vertical="center" indent="2"/>
    </xf>
    <xf numFmtId="0" fontId="113" fillId="4" borderId="0" xfId="0" applyFont="1" applyFill="1" applyBorder="1" applyAlignment="1" applyProtection="1">
      <alignment vertical="center"/>
    </xf>
    <xf numFmtId="0" fontId="113" fillId="4" borderId="0" xfId="0" applyFont="1" applyFill="1" applyBorder="1" applyAlignment="1" applyProtection="1">
      <alignment horizontal="center" vertical="center" wrapText="1"/>
    </xf>
    <xf numFmtId="0" fontId="59" fillId="4" borderId="0" xfId="0" applyFont="1" applyFill="1" applyBorder="1" applyAlignment="1" applyProtection="1">
      <alignment horizontal="center" vertical="center" wrapText="1"/>
    </xf>
    <xf numFmtId="0" fontId="59" fillId="4" borderId="0" xfId="2" applyFont="1" applyFill="1" applyBorder="1" applyAlignment="1" applyProtection="1">
      <alignment horizontal="center" vertical="center" wrapText="1"/>
    </xf>
    <xf numFmtId="0" fontId="113" fillId="4" borderId="0" xfId="0" applyFont="1" applyFill="1" applyBorder="1" applyAlignment="1" applyProtection="1">
      <alignment horizontal="center" vertical="center"/>
    </xf>
    <xf numFmtId="49" fontId="59" fillId="4" borderId="0" xfId="2" applyNumberFormat="1" applyFont="1" applyFill="1" applyBorder="1" applyAlignment="1" applyProtection="1">
      <alignment horizontal="center" vertical="center" wrapText="1"/>
    </xf>
    <xf numFmtId="0" fontId="59" fillId="4" borderId="0" xfId="0" applyFont="1" applyFill="1" applyBorder="1" applyAlignment="1" applyProtection="1">
      <alignment horizontal="center"/>
    </xf>
    <xf numFmtId="0" fontId="113" fillId="4" borderId="0" xfId="0" applyFont="1" applyFill="1" applyBorder="1" applyAlignment="1" applyProtection="1">
      <alignment horizontal="center"/>
    </xf>
    <xf numFmtId="0" fontId="53" fillId="0" borderId="0" xfId="0" applyFont="1" applyFill="1" applyBorder="1" applyAlignment="1" applyProtection="1">
      <alignment horizontal="center"/>
    </xf>
    <xf numFmtId="0" fontId="54" fillId="0" borderId="0" xfId="0" applyFont="1" applyFill="1" applyBorder="1" applyProtection="1"/>
    <xf numFmtId="0" fontId="53" fillId="0" borderId="0"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7" fillId="0" borderId="0"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9" fontId="53" fillId="0" borderId="0" xfId="0" applyNumberFormat="1" applyFont="1" applyFill="1" applyBorder="1" applyAlignment="1" applyProtection="1">
      <alignment horizontal="center" vertical="center"/>
    </xf>
    <xf numFmtId="0" fontId="57" fillId="0" borderId="0" xfId="0" applyFont="1" applyFill="1" applyBorder="1" applyAlignment="1" applyProtection="1">
      <alignment horizontal="left" vertical="center" indent="1"/>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wrapText="1"/>
    </xf>
    <xf numFmtId="0" fontId="53" fillId="0" borderId="0" xfId="0" applyFont="1" applyFill="1" applyBorder="1" applyAlignment="1" applyProtection="1">
      <alignment horizontal="left" vertical="center"/>
    </xf>
    <xf numFmtId="0" fontId="53" fillId="0" borderId="0" xfId="0" applyFont="1" applyFill="1" applyBorder="1" applyAlignment="1" applyProtection="1">
      <alignment horizontal="left"/>
    </xf>
    <xf numFmtId="1" fontId="53" fillId="0" borderId="0" xfId="0" applyNumberFormat="1" applyFont="1" applyFill="1" applyBorder="1" applyAlignment="1" applyProtection="1">
      <alignment horizontal="center" vertical="center"/>
    </xf>
    <xf numFmtId="49" fontId="53" fillId="0" borderId="0" xfId="2" applyNumberFormat="1" applyFont="1" applyFill="1" applyBorder="1" applyAlignment="1" applyProtection="1">
      <alignment horizontal="center" vertical="center" wrapText="1"/>
    </xf>
    <xf numFmtId="9" fontId="57" fillId="0" borderId="0" xfId="0" applyNumberFormat="1" applyFont="1" applyFill="1" applyBorder="1" applyAlignment="1" applyProtection="1">
      <alignment horizontal="left" vertical="center" indent="1"/>
    </xf>
    <xf numFmtId="9" fontId="57" fillId="0" borderId="0" xfId="0" applyNumberFormat="1" applyFont="1" applyFill="1" applyBorder="1" applyAlignment="1" applyProtection="1">
      <alignment horizontal="center" vertical="center"/>
    </xf>
    <xf numFmtId="9" fontId="53" fillId="4" borderId="0" xfId="0" applyNumberFormat="1" applyFont="1" applyFill="1" applyBorder="1" applyAlignment="1" applyProtection="1">
      <alignment horizontal="center" vertical="center"/>
    </xf>
    <xf numFmtId="0" fontId="53" fillId="4" borderId="0" xfId="0" applyFont="1" applyFill="1" applyBorder="1" applyProtection="1"/>
    <xf numFmtId="0" fontId="53" fillId="4" borderId="0" xfId="0" applyFont="1" applyFill="1" applyBorder="1" applyAlignment="1" applyProtection="1">
      <alignment vertical="center"/>
    </xf>
    <xf numFmtId="0" fontId="53" fillId="0" borderId="0" xfId="0" applyNumberFormat="1" applyFont="1" applyFill="1" applyBorder="1" applyAlignment="1" applyProtection="1">
      <alignment horizontal="center" vertical="center"/>
    </xf>
    <xf numFmtId="0" fontId="53" fillId="4" borderId="0" xfId="0" applyFont="1" applyFill="1" applyBorder="1" applyAlignment="1" applyProtection="1">
      <alignment horizontal="left" vertical="center"/>
    </xf>
    <xf numFmtId="9" fontId="53" fillId="0" borderId="0" xfId="0" applyNumberFormat="1" applyFont="1" applyFill="1" applyBorder="1" applyAlignment="1" applyProtection="1">
      <alignment horizontal="center"/>
    </xf>
    <xf numFmtId="0" fontId="112" fillId="0" borderId="0" xfId="0" applyFont="1" applyFill="1" applyProtection="1"/>
    <xf numFmtId="0" fontId="112" fillId="0" borderId="0" xfId="0" applyFont="1" applyProtection="1"/>
    <xf numFmtId="0" fontId="112" fillId="4" borderId="0" xfId="0" applyFont="1" applyFill="1" applyProtection="1"/>
    <xf numFmtId="0" fontId="115" fillId="0" borderId="0" xfId="0" applyFont="1" applyFill="1" applyBorder="1" applyProtection="1"/>
    <xf numFmtId="9" fontId="115" fillId="0" borderId="0" xfId="0" applyNumberFormat="1" applyFont="1" applyFill="1" applyBorder="1" applyProtection="1"/>
    <xf numFmtId="0" fontId="116" fillId="0" borderId="0" xfId="0" applyFont="1" applyFill="1" applyBorder="1" applyAlignment="1" applyProtection="1">
      <alignment horizontal="center" vertical="center"/>
    </xf>
    <xf numFmtId="9" fontId="116" fillId="0" borderId="0" xfId="0" applyNumberFormat="1" applyFont="1" applyFill="1" applyBorder="1" applyAlignment="1" applyProtection="1">
      <alignment horizontal="center" vertical="center"/>
    </xf>
    <xf numFmtId="0" fontId="115" fillId="0" borderId="0" xfId="0" applyFont="1" applyFill="1" applyProtection="1"/>
    <xf numFmtId="0" fontId="116" fillId="0" borderId="0" xfId="0" applyFont="1" applyFill="1" applyBorder="1" applyAlignment="1" applyProtection="1">
      <alignment horizontal="center" vertical="center" wrapText="1"/>
    </xf>
    <xf numFmtId="9" fontId="116" fillId="0" borderId="0" xfId="0" applyNumberFormat="1" applyFont="1" applyFill="1" applyBorder="1" applyAlignment="1" applyProtection="1">
      <alignment horizontal="center" vertical="center" wrapText="1"/>
    </xf>
    <xf numFmtId="2" fontId="116" fillId="0" borderId="0" xfId="0" applyNumberFormat="1" applyFont="1" applyFill="1" applyBorder="1" applyAlignment="1" applyProtection="1">
      <alignment horizontal="center" vertical="center" wrapText="1"/>
    </xf>
    <xf numFmtId="1" fontId="116" fillId="0" borderId="0" xfId="0" applyNumberFormat="1" applyFont="1" applyFill="1" applyBorder="1" applyAlignment="1" applyProtection="1">
      <alignment horizontal="center" vertical="center"/>
    </xf>
    <xf numFmtId="0" fontId="116" fillId="0" borderId="0" xfId="0" applyFont="1" applyFill="1" applyBorder="1" applyProtection="1"/>
    <xf numFmtId="0" fontId="111" fillId="0" borderId="0" xfId="0" applyFont="1" applyFill="1" applyAlignment="1" applyProtection="1">
      <alignment wrapText="1"/>
    </xf>
    <xf numFmtId="0" fontId="111" fillId="0" borderId="0" xfId="0" applyFont="1" applyFill="1" applyProtection="1"/>
    <xf numFmtId="0" fontId="116" fillId="0" borderId="0" xfId="2" applyFont="1" applyFill="1" applyBorder="1" applyAlignment="1" applyProtection="1">
      <alignment horizontal="center" vertical="center" wrapText="1"/>
    </xf>
    <xf numFmtId="2" fontId="116" fillId="0" borderId="0" xfId="0" applyNumberFormat="1" applyFont="1" applyFill="1" applyBorder="1" applyAlignment="1" applyProtection="1">
      <alignment horizontal="center" vertical="center"/>
    </xf>
    <xf numFmtId="0" fontId="116" fillId="0" borderId="0" xfId="7" applyNumberFormat="1" applyFont="1" applyFill="1" applyBorder="1" applyAlignment="1" applyProtection="1">
      <alignment horizontal="center" vertical="center" wrapText="1"/>
    </xf>
    <xf numFmtId="9" fontId="116" fillId="0" borderId="0" xfId="0" applyNumberFormat="1" applyFont="1" applyFill="1" applyBorder="1" applyProtection="1"/>
    <xf numFmtId="0" fontId="112" fillId="0" borderId="0" xfId="0" applyFont="1" applyFill="1" applyAlignment="1" applyProtection="1">
      <alignment wrapText="1"/>
    </xf>
    <xf numFmtId="0" fontId="116" fillId="0" borderId="0" xfId="6" applyNumberFormat="1" applyFont="1" applyFill="1" applyBorder="1" applyAlignment="1" applyProtection="1">
      <alignment horizontal="center" vertical="center"/>
    </xf>
    <xf numFmtId="0" fontId="69" fillId="2" borderId="0" xfId="0" applyFont="1" applyFill="1" applyAlignment="1" applyProtection="1">
      <alignment horizontal="center" vertical="center" wrapText="1"/>
    </xf>
    <xf numFmtId="0" fontId="21" fillId="14" borderId="57" xfId="2" applyFont="1" applyFill="1" applyBorder="1" applyAlignment="1" applyProtection="1">
      <alignment horizontal="center" vertical="center" wrapText="1"/>
    </xf>
    <xf numFmtId="0" fontId="44" fillId="14" borderId="55" xfId="2" applyFont="1" applyFill="1" applyBorder="1" applyAlignment="1" applyProtection="1">
      <alignment horizontal="center" vertical="center" wrapText="1"/>
    </xf>
    <xf numFmtId="0" fontId="46" fillId="8" borderId="45" xfId="2" applyFont="1" applyFill="1" applyBorder="1" applyAlignment="1" applyProtection="1">
      <alignment horizontal="center" vertical="center" wrapText="1"/>
    </xf>
    <xf numFmtId="0" fontId="46" fillId="8" borderId="56" xfId="2" applyFont="1" applyFill="1" applyBorder="1" applyAlignment="1" applyProtection="1">
      <alignment horizontal="center" vertical="center" wrapText="1"/>
    </xf>
    <xf numFmtId="49" fontId="21" fillId="8" borderId="45" xfId="2" applyNumberFormat="1" applyFont="1" applyFill="1" applyBorder="1" applyAlignment="1" applyProtection="1">
      <alignment horizontal="center" vertical="center" wrapText="1"/>
    </xf>
    <xf numFmtId="49" fontId="21" fillId="8" borderId="56" xfId="2" applyNumberFormat="1"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xf>
    <xf numFmtId="0" fontId="49" fillId="14" borderId="57" xfId="2" applyFont="1" applyFill="1" applyBorder="1" applyAlignment="1" applyProtection="1">
      <alignment horizontal="center" vertical="center" wrapText="1"/>
    </xf>
    <xf numFmtId="0" fontId="46" fillId="14" borderId="55" xfId="2" applyFont="1" applyFill="1" applyBorder="1" applyAlignment="1" applyProtection="1">
      <alignment horizontal="center" vertical="center" wrapText="1"/>
    </xf>
    <xf numFmtId="0" fontId="57" fillId="15" borderId="59" xfId="2" applyFont="1" applyFill="1" applyBorder="1" applyAlignment="1" applyProtection="1">
      <alignment horizontal="center" vertical="center" wrapText="1"/>
    </xf>
    <xf numFmtId="0" fontId="57" fillId="15" borderId="52" xfId="2" applyFont="1" applyFill="1" applyBorder="1" applyAlignment="1" applyProtection="1">
      <alignment horizontal="center" vertical="center" wrapText="1"/>
    </xf>
    <xf numFmtId="0" fontId="57" fillId="15" borderId="58" xfId="2" applyFont="1" applyFill="1" applyBorder="1" applyAlignment="1" applyProtection="1">
      <alignment horizontal="center" vertical="center" wrapText="1"/>
    </xf>
    <xf numFmtId="0" fontId="8" fillId="7" borderId="33" xfId="2" applyNumberFormat="1" applyFont="1" applyFill="1" applyBorder="1" applyAlignment="1" applyProtection="1">
      <alignment vertical="center"/>
      <protection locked="0"/>
    </xf>
    <xf numFmtId="0" fontId="8" fillId="7" borderId="0" xfId="2" applyNumberFormat="1" applyFont="1" applyFill="1" applyBorder="1" applyAlignment="1" applyProtection="1">
      <alignment vertical="center"/>
      <protection locked="0"/>
    </xf>
    <xf numFmtId="0" fontId="8" fillId="7" borderId="34" xfId="2" applyNumberFormat="1" applyFont="1" applyFill="1" applyBorder="1" applyAlignment="1" applyProtection="1">
      <alignment vertical="center"/>
      <protection locked="0"/>
    </xf>
    <xf numFmtId="49" fontId="16" fillId="4" borderId="0" xfId="2" applyNumberFormat="1" applyFont="1" applyFill="1" applyBorder="1" applyAlignment="1" applyProtection="1">
      <alignment vertical="center"/>
      <protection locked="0"/>
    </xf>
    <xf numFmtId="49" fontId="16" fillId="4" borderId="34" xfId="2" applyNumberFormat="1" applyFont="1" applyFill="1" applyBorder="1" applyAlignment="1" applyProtection="1">
      <alignment vertical="center"/>
      <protection locked="0"/>
    </xf>
    <xf numFmtId="0" fontId="57" fillId="15" borderId="54" xfId="2" applyFont="1" applyFill="1" applyBorder="1" applyAlignment="1" applyProtection="1">
      <alignment horizontal="center" vertical="center" wrapText="1"/>
    </xf>
    <xf numFmtId="0" fontId="57" fillId="15" borderId="71" xfId="2" applyFont="1" applyFill="1" applyBorder="1" applyAlignment="1" applyProtection="1">
      <alignment horizontal="center" vertical="center" wrapText="1"/>
    </xf>
    <xf numFmtId="0" fontId="57" fillId="15" borderId="33" xfId="2" applyFont="1" applyFill="1" applyBorder="1" applyAlignment="1" applyProtection="1">
      <alignment horizontal="right" vertical="center" wrapText="1"/>
    </xf>
    <xf numFmtId="0" fontId="57" fillId="15" borderId="0" xfId="2" applyFont="1" applyFill="1" applyBorder="1" applyAlignment="1" applyProtection="1">
      <alignment horizontal="right" vertical="center" wrapText="1"/>
    </xf>
    <xf numFmtId="0" fontId="57" fillId="15" borderId="33" xfId="2" applyFont="1" applyFill="1" applyBorder="1" applyAlignment="1" applyProtection="1">
      <alignment horizontal="right" vertical="center"/>
    </xf>
    <xf numFmtId="0" fontId="57" fillId="15" borderId="0" xfId="2" applyFont="1" applyFill="1" applyBorder="1" applyAlignment="1" applyProtection="1">
      <alignment horizontal="right" vertical="center"/>
    </xf>
    <xf numFmtId="0" fontId="52" fillId="4" borderId="33" xfId="0" applyFont="1" applyFill="1" applyBorder="1" applyAlignment="1" applyProtection="1">
      <alignment vertical="center"/>
      <protection locked="0"/>
    </xf>
    <xf numFmtId="0" fontId="52" fillId="4" borderId="0" xfId="0" applyFont="1" applyFill="1" applyBorder="1" applyAlignment="1" applyProtection="1">
      <alignment vertical="center"/>
      <protection locked="0"/>
    </xf>
    <xf numFmtId="0" fontId="57" fillId="15" borderId="46" xfId="2" applyFont="1" applyFill="1" applyBorder="1" applyAlignment="1" applyProtection="1">
      <alignment horizontal="right" vertical="center"/>
    </xf>
    <xf numFmtId="0" fontId="57" fillId="15" borderId="47" xfId="2" applyFont="1" applyFill="1" applyBorder="1" applyAlignment="1" applyProtection="1">
      <alignment horizontal="right" vertical="center"/>
    </xf>
    <xf numFmtId="0" fontId="57" fillId="15" borderId="48" xfId="2" applyFont="1" applyFill="1" applyBorder="1" applyAlignment="1" applyProtection="1">
      <alignment horizontal="right" vertical="center"/>
    </xf>
    <xf numFmtId="0" fontId="8" fillId="7" borderId="46" xfId="2" applyNumberFormat="1" applyFont="1" applyFill="1" applyBorder="1" applyAlignment="1" applyProtection="1">
      <alignment vertical="center"/>
      <protection locked="0"/>
    </xf>
    <xf numFmtId="0" fontId="8" fillId="7" borderId="47" xfId="2" applyNumberFormat="1" applyFont="1" applyFill="1" applyBorder="1" applyAlignment="1" applyProtection="1">
      <alignment vertical="center"/>
      <protection locked="0"/>
    </xf>
    <xf numFmtId="0" fontId="8" fillId="7" borderId="48" xfId="2" applyNumberFormat="1" applyFont="1" applyFill="1" applyBorder="1" applyAlignment="1" applyProtection="1">
      <alignment vertical="center"/>
      <protection locked="0"/>
    </xf>
    <xf numFmtId="0" fontId="64" fillId="6" borderId="41" xfId="0" applyFont="1" applyFill="1" applyBorder="1" applyAlignment="1" applyProtection="1">
      <alignment horizontal="center" vertical="center" wrapText="1"/>
    </xf>
    <xf numFmtId="0" fontId="64" fillId="6" borderId="42" xfId="0" applyFont="1" applyFill="1" applyBorder="1" applyAlignment="1" applyProtection="1">
      <alignment horizontal="center" vertical="center" wrapText="1"/>
    </xf>
    <xf numFmtId="0" fontId="64" fillId="6" borderId="43" xfId="0" applyFont="1" applyFill="1" applyBorder="1" applyAlignment="1" applyProtection="1">
      <alignment horizontal="center" vertical="center" wrapText="1"/>
    </xf>
    <xf numFmtId="0" fontId="98" fillId="4" borderId="33" xfId="0" quotePrefix="1" applyFont="1" applyFill="1" applyBorder="1" applyAlignment="1" applyProtection="1">
      <alignment horizontal="center" vertical="center" wrapText="1"/>
    </xf>
    <xf numFmtId="0" fontId="98" fillId="4" borderId="0" xfId="0" applyFont="1" applyFill="1" applyBorder="1" applyAlignment="1" applyProtection="1">
      <alignment horizontal="center" vertical="center" wrapText="1"/>
    </xf>
    <xf numFmtId="0" fontId="98" fillId="4" borderId="34" xfId="0" applyFont="1" applyFill="1" applyBorder="1" applyAlignment="1" applyProtection="1">
      <alignment horizontal="center" vertical="center" wrapText="1"/>
    </xf>
    <xf numFmtId="0" fontId="98" fillId="4" borderId="46" xfId="0" applyFont="1" applyFill="1" applyBorder="1" applyAlignment="1" applyProtection="1">
      <alignment horizontal="center" vertical="center" wrapText="1"/>
    </xf>
    <xf numFmtId="0" fontId="98" fillId="4" borderId="47" xfId="0" applyFont="1" applyFill="1" applyBorder="1" applyAlignment="1" applyProtection="1">
      <alignment horizontal="center" vertical="center" wrapText="1"/>
    </xf>
    <xf numFmtId="0" fontId="98" fillId="4" borderId="48" xfId="0" applyFont="1" applyFill="1" applyBorder="1" applyAlignment="1" applyProtection="1">
      <alignment horizontal="center" vertical="center" wrapText="1"/>
    </xf>
    <xf numFmtId="0" fontId="2" fillId="18" borderId="53" xfId="2" applyFont="1" applyFill="1" applyBorder="1" applyAlignment="1" applyProtection="1">
      <alignment horizontal="left" vertical="center"/>
    </xf>
    <xf numFmtId="0" fontId="2" fillId="18" borderId="42" xfId="2" applyFont="1" applyFill="1" applyBorder="1" applyAlignment="1" applyProtection="1">
      <alignment horizontal="left" vertical="center"/>
    </xf>
    <xf numFmtId="0" fontId="47" fillId="16" borderId="0" xfId="2" applyFont="1" applyFill="1" applyBorder="1" applyAlignment="1" applyProtection="1">
      <alignment horizontal="center" vertical="center" wrapText="1"/>
    </xf>
    <xf numFmtId="0" fontId="79" fillId="4" borderId="35" xfId="0" applyFont="1" applyFill="1" applyBorder="1" applyAlignment="1" applyProtection="1">
      <alignment horizontal="center" vertical="center"/>
    </xf>
    <xf numFmtId="0" fontId="79" fillId="4" borderId="36" xfId="0" applyFont="1" applyFill="1" applyBorder="1" applyAlignment="1" applyProtection="1">
      <alignment horizontal="center" vertical="center"/>
    </xf>
    <xf numFmtId="0" fontId="79" fillId="4" borderId="37"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0" fontId="78" fillId="17" borderId="35" xfId="2" applyFont="1" applyFill="1" applyBorder="1" applyAlignment="1" applyProtection="1">
      <alignment horizontal="center" vertical="center"/>
    </xf>
    <xf numFmtId="0" fontId="78" fillId="17" borderId="36" xfId="2" applyFont="1" applyFill="1" applyBorder="1" applyAlignment="1" applyProtection="1">
      <alignment horizontal="center" vertical="center"/>
    </xf>
    <xf numFmtId="0" fontId="78" fillId="17" borderId="37" xfId="2" applyFont="1" applyFill="1" applyBorder="1" applyAlignment="1" applyProtection="1">
      <alignment horizontal="center" vertical="center"/>
    </xf>
    <xf numFmtId="0" fontId="57" fillId="15" borderId="41" xfId="2" applyFont="1" applyFill="1" applyBorder="1" applyAlignment="1" applyProtection="1">
      <alignment horizontal="right" vertical="center"/>
    </xf>
    <xf numFmtId="0" fontId="57" fillId="15" borderId="42" xfId="2" applyFont="1" applyFill="1" applyBorder="1" applyAlignment="1" applyProtection="1">
      <alignment horizontal="right" vertical="center"/>
    </xf>
    <xf numFmtId="0" fontId="8" fillId="7" borderId="41" xfId="2" applyNumberFormat="1" applyFont="1" applyFill="1" applyBorder="1" applyAlignment="1" applyProtection="1">
      <alignment vertical="center"/>
      <protection locked="0"/>
    </xf>
    <xf numFmtId="0" fontId="8" fillId="7" borderId="42" xfId="2" applyNumberFormat="1" applyFont="1" applyFill="1" applyBorder="1" applyAlignment="1" applyProtection="1">
      <alignment vertical="center"/>
      <protection locked="0"/>
    </xf>
    <xf numFmtId="0" fontId="8" fillId="7" borderId="43" xfId="2" applyNumberFormat="1" applyFont="1" applyFill="1" applyBorder="1" applyAlignment="1" applyProtection="1">
      <alignment vertical="center"/>
      <protection locked="0"/>
    </xf>
    <xf numFmtId="49" fontId="104" fillId="16" borderId="0" xfId="2" applyNumberFormat="1" applyFont="1" applyFill="1" applyBorder="1" applyAlignment="1" applyProtection="1">
      <alignment horizontal="center" vertical="center"/>
    </xf>
    <xf numFmtId="0" fontId="105" fillId="16" borderId="0" xfId="2" applyFont="1" applyFill="1" applyBorder="1" applyAlignment="1" applyProtection="1">
      <alignment horizontal="center" vertical="center"/>
    </xf>
    <xf numFmtId="0" fontId="85" fillId="26" borderId="79" xfId="0" applyFont="1" applyFill="1" applyBorder="1" applyAlignment="1" applyProtection="1">
      <alignment vertical="center"/>
    </xf>
    <xf numFmtId="0" fontId="85" fillId="26" borderId="0" xfId="0" applyFont="1" applyFill="1" applyBorder="1" applyAlignment="1" applyProtection="1">
      <alignment vertical="center"/>
    </xf>
    <xf numFmtId="0" fontId="88" fillId="24" borderId="115" xfId="0" applyFont="1" applyFill="1" applyBorder="1" applyAlignment="1">
      <alignment horizontal="center" vertical="center"/>
    </xf>
    <xf numFmtId="0" fontId="88" fillId="24" borderId="116" xfId="0" applyFont="1" applyFill="1" applyBorder="1" applyAlignment="1">
      <alignment horizontal="center" vertical="center"/>
    </xf>
    <xf numFmtId="0" fontId="88" fillId="24" borderId="117" xfId="0" applyFont="1" applyFill="1" applyBorder="1" applyAlignment="1">
      <alignment horizontal="center" vertical="center"/>
    </xf>
    <xf numFmtId="0" fontId="88" fillId="24" borderId="108" xfId="0" applyFont="1" applyFill="1" applyBorder="1" applyAlignment="1">
      <alignment horizontal="center" vertical="center"/>
    </xf>
    <xf numFmtId="0" fontId="88" fillId="24" borderId="0" xfId="0" applyFont="1" applyFill="1" applyBorder="1" applyAlignment="1">
      <alignment horizontal="center" vertical="center"/>
    </xf>
    <xf numFmtId="0" fontId="88" fillId="24" borderId="109" xfId="0" applyFont="1" applyFill="1" applyBorder="1" applyAlignment="1">
      <alignment horizontal="center" vertical="center"/>
    </xf>
    <xf numFmtId="0" fontId="87" fillId="25" borderId="0" xfId="0" applyFont="1" applyFill="1" applyAlignment="1"/>
    <xf numFmtId="0" fontId="87" fillId="24" borderId="112" xfId="0" applyFont="1" applyFill="1" applyBorder="1" applyAlignment="1">
      <alignment horizontal="center" vertical="center"/>
    </xf>
    <xf numFmtId="0" fontId="87" fillId="24" borderId="113" xfId="0" applyFont="1" applyFill="1" applyBorder="1" applyAlignment="1">
      <alignment horizontal="center" vertical="center"/>
    </xf>
    <xf numFmtId="0" fontId="87" fillId="24" borderId="114" xfId="0" applyFont="1" applyFill="1" applyBorder="1" applyAlignment="1">
      <alignment horizontal="center" vertical="center"/>
    </xf>
    <xf numFmtId="0" fontId="87" fillId="24" borderId="115" xfId="0" applyFont="1" applyFill="1" applyBorder="1" applyAlignment="1">
      <alignment horizontal="center" vertical="center"/>
    </xf>
    <xf numFmtId="0" fontId="87" fillId="24" borderId="117" xfId="0" applyFont="1" applyFill="1" applyBorder="1" applyAlignment="1">
      <alignment horizontal="center" vertical="center"/>
    </xf>
    <xf numFmtId="0" fontId="88" fillId="24" borderId="104" xfId="0" applyFont="1" applyFill="1" applyBorder="1" applyAlignment="1">
      <alignment horizontal="center" vertical="center"/>
    </xf>
    <xf numFmtId="0" fontId="88" fillId="24" borderId="118" xfId="0" applyFont="1" applyFill="1" applyBorder="1" applyAlignment="1">
      <alignment horizontal="center" vertical="center"/>
    </xf>
    <xf numFmtId="0" fontId="88" fillId="24" borderId="119" xfId="0" applyFont="1" applyFill="1" applyBorder="1" applyAlignment="1">
      <alignment horizontal="center" vertical="center"/>
    </xf>
    <xf numFmtId="0" fontId="87" fillId="24" borderId="110" xfId="0" applyFont="1" applyFill="1" applyBorder="1" applyAlignment="1">
      <alignment horizontal="center" vertical="center"/>
    </xf>
    <xf numFmtId="0" fontId="87" fillId="24" borderId="105" xfId="0" applyFont="1" applyFill="1" applyBorder="1" applyAlignment="1">
      <alignment horizontal="center" vertical="center"/>
    </xf>
    <xf numFmtId="0" fontId="88" fillId="24" borderId="110" xfId="0" applyFont="1" applyFill="1" applyBorder="1" applyAlignment="1">
      <alignment horizontal="center" vertical="center"/>
    </xf>
    <xf numFmtId="0" fontId="88" fillId="24" borderId="111" xfId="0" applyFont="1" applyFill="1" applyBorder="1" applyAlignment="1">
      <alignment horizontal="center" vertical="center"/>
    </xf>
    <xf numFmtId="0" fontId="88" fillId="24" borderId="105" xfId="0" applyFont="1" applyFill="1" applyBorder="1" applyAlignment="1">
      <alignment horizontal="center" vertical="center"/>
    </xf>
    <xf numFmtId="0" fontId="87" fillId="24" borderId="108" xfId="0" applyFont="1" applyFill="1" applyBorder="1" applyAlignment="1">
      <alignment horizontal="center" vertical="center"/>
    </xf>
    <xf numFmtId="0" fontId="87" fillId="24" borderId="109" xfId="0" applyFont="1" applyFill="1" applyBorder="1" applyAlignment="1">
      <alignment horizontal="center" vertical="center"/>
    </xf>
    <xf numFmtId="0" fontId="87" fillId="24" borderId="104" xfId="0" applyFont="1" applyFill="1" applyBorder="1" applyAlignment="1">
      <alignment horizontal="center" vertical="center"/>
    </xf>
    <xf numFmtId="0" fontId="87" fillId="24" borderId="119" xfId="0" applyFont="1" applyFill="1" applyBorder="1" applyAlignment="1">
      <alignment horizontal="center" vertical="center"/>
    </xf>
    <xf numFmtId="0" fontId="107" fillId="2" borderId="0" xfId="0" applyFont="1" applyFill="1" applyAlignment="1">
      <alignment horizontal="center"/>
    </xf>
    <xf numFmtId="0" fontId="109" fillId="0" borderId="36" xfId="0" applyFont="1" applyFill="1" applyBorder="1" applyAlignment="1" applyProtection="1">
      <alignment horizontal="center" vertical="center"/>
    </xf>
    <xf numFmtId="0" fontId="110" fillId="0" borderId="35" xfId="0" applyFont="1" applyFill="1" applyBorder="1" applyAlignment="1">
      <alignment vertical="center" wrapText="1"/>
    </xf>
    <xf numFmtId="0" fontId="110" fillId="0" borderId="36" xfId="0" applyFont="1" applyFill="1" applyBorder="1" applyAlignment="1">
      <alignment vertical="center" wrapText="1"/>
    </xf>
    <xf numFmtId="0" fontId="110" fillId="0" borderId="37" xfId="0" applyFont="1" applyFill="1" applyBorder="1" applyAlignment="1">
      <alignment vertical="center" wrapText="1"/>
    </xf>
    <xf numFmtId="0" fontId="110" fillId="2" borderId="35" xfId="0" applyFont="1" applyFill="1" applyBorder="1" applyAlignment="1">
      <alignment vertical="center" wrapText="1"/>
    </xf>
    <xf numFmtId="0" fontId="110" fillId="2" borderId="37" xfId="0" applyFont="1" applyFill="1" applyBorder="1" applyAlignment="1">
      <alignment vertical="center" wrapText="1"/>
    </xf>
    <xf numFmtId="0" fontId="1" fillId="0" borderId="35" xfId="0" applyFont="1" applyFill="1" applyBorder="1" applyAlignment="1">
      <alignment vertical="center" wrapText="1"/>
    </xf>
    <xf numFmtId="0" fontId="1" fillId="0" borderId="36" xfId="0" applyFont="1" applyFill="1" applyBorder="1" applyAlignment="1">
      <alignment vertical="center" wrapText="1"/>
    </xf>
    <xf numFmtId="0" fontId="1" fillId="0" borderId="37" xfId="0" applyFont="1" applyFill="1" applyBorder="1" applyAlignment="1">
      <alignment vertical="center" wrapText="1"/>
    </xf>
    <xf numFmtId="49" fontId="104" fillId="16" borderId="0" xfId="0" applyNumberFormat="1" applyFont="1" applyFill="1" applyBorder="1" applyAlignment="1" applyProtection="1">
      <alignment horizontal="center" vertical="center"/>
    </xf>
    <xf numFmtId="0" fontId="105" fillId="16" borderId="0" xfId="0" applyFont="1" applyFill="1" applyBorder="1" applyAlignment="1" applyProtection="1">
      <alignment horizontal="center" vertical="center"/>
    </xf>
    <xf numFmtId="0" fontId="1" fillId="2" borderId="35" xfId="0" applyFont="1" applyFill="1" applyBorder="1" applyAlignment="1">
      <alignment vertical="center" wrapText="1"/>
    </xf>
    <xf numFmtId="0" fontId="1" fillId="2" borderId="37" xfId="0" applyFont="1" applyFill="1" applyBorder="1" applyAlignment="1">
      <alignment vertical="center" wrapText="1"/>
    </xf>
    <xf numFmtId="0" fontId="56" fillId="14" borderId="35" xfId="0" applyFont="1" applyFill="1" applyBorder="1" applyAlignment="1">
      <alignment horizontal="center" vertical="center"/>
    </xf>
    <xf numFmtId="0" fontId="56" fillId="14" borderId="37" xfId="0" applyFont="1" applyFill="1" applyBorder="1" applyAlignment="1">
      <alignment horizontal="center" vertical="center"/>
    </xf>
    <xf numFmtId="0" fontId="91" fillId="0" borderId="35" xfId="0" applyFont="1" applyFill="1" applyBorder="1" applyAlignment="1">
      <alignment vertical="center" wrapText="1"/>
    </xf>
    <xf numFmtId="0" fontId="91" fillId="0" borderId="37" xfId="0" applyFont="1" applyFill="1" applyBorder="1" applyAlignment="1">
      <alignment vertical="center" wrapText="1"/>
    </xf>
    <xf numFmtId="0" fontId="91" fillId="0" borderId="35" xfId="0" applyFont="1" applyFill="1" applyBorder="1" applyAlignment="1">
      <alignment horizontal="left" vertical="center" wrapText="1"/>
    </xf>
    <xf numFmtId="0" fontId="91" fillId="0" borderId="36" xfId="0" applyFont="1" applyFill="1" applyBorder="1" applyAlignment="1">
      <alignment horizontal="left" vertical="center" wrapText="1"/>
    </xf>
    <xf numFmtId="0" fontId="56" fillId="14" borderId="36" xfId="0" applyFont="1" applyFill="1" applyBorder="1" applyAlignment="1">
      <alignment horizontal="center" vertical="center"/>
    </xf>
    <xf numFmtId="0" fontId="106" fillId="2" borderId="35" xfId="0" applyFont="1" applyFill="1" applyBorder="1" applyAlignment="1">
      <alignment vertical="center" wrapText="1"/>
    </xf>
    <xf numFmtId="0" fontId="106" fillId="2" borderId="37" xfId="0" applyFont="1" applyFill="1" applyBorder="1" applyAlignment="1">
      <alignment vertical="center" wrapText="1"/>
    </xf>
    <xf numFmtId="0" fontId="106" fillId="0" borderId="35" xfId="0" applyFont="1" applyFill="1" applyBorder="1" applyAlignment="1">
      <alignment vertical="center" wrapText="1"/>
    </xf>
    <xf numFmtId="0" fontId="106" fillId="0" borderId="36" xfId="0" applyFont="1" applyFill="1" applyBorder="1" applyAlignment="1">
      <alignment vertical="center" wrapText="1"/>
    </xf>
    <xf numFmtId="0" fontId="106" fillId="0" borderId="37" xfId="0" applyFont="1" applyFill="1" applyBorder="1" applyAlignment="1">
      <alignment vertical="center" wrapText="1"/>
    </xf>
    <xf numFmtId="0" fontId="68" fillId="14" borderId="35" xfId="0" applyFont="1" applyFill="1" applyBorder="1" applyAlignment="1">
      <alignment horizontal="center" vertical="center"/>
    </xf>
    <xf numFmtId="0" fontId="68" fillId="14" borderId="36" xfId="0" applyFont="1" applyFill="1" applyBorder="1" applyAlignment="1">
      <alignment horizontal="center" vertical="center"/>
    </xf>
    <xf numFmtId="0" fontId="68" fillId="14" borderId="37" xfId="0" applyFont="1" applyFill="1" applyBorder="1" applyAlignment="1">
      <alignment horizontal="center" vertical="center"/>
    </xf>
    <xf numFmtId="0" fontId="91" fillId="1" borderId="35" xfId="0" applyFont="1" applyFill="1" applyBorder="1" applyAlignment="1">
      <alignment vertical="center" wrapText="1"/>
    </xf>
    <xf numFmtId="0" fontId="91" fillId="1" borderId="37" xfId="0" applyFont="1" applyFill="1" applyBorder="1" applyAlignment="1">
      <alignment vertical="center" wrapText="1"/>
    </xf>
    <xf numFmtId="0" fontId="56" fillId="33" borderId="35" xfId="0" applyFont="1" applyFill="1" applyBorder="1" applyAlignment="1">
      <alignment horizontal="center" vertical="center"/>
    </xf>
    <xf numFmtId="0" fontId="56" fillId="33" borderId="36" xfId="0" applyFont="1" applyFill="1" applyBorder="1" applyAlignment="1">
      <alignment horizontal="center" vertical="center"/>
    </xf>
    <xf numFmtId="0" fontId="56" fillId="33" borderId="37" xfId="0" applyFont="1" applyFill="1" applyBorder="1" applyAlignment="1">
      <alignment horizontal="center" vertical="center"/>
    </xf>
    <xf numFmtId="0" fontId="13" fillId="0" borderId="68" xfId="2" applyNumberFormat="1" applyFont="1" applyFill="1" applyBorder="1" applyAlignment="1" applyProtection="1">
      <alignment horizontal="center" vertical="center" wrapText="1"/>
    </xf>
    <xf numFmtId="0" fontId="13" fillId="0" borderId="106" xfId="2" applyNumberFormat="1" applyFont="1" applyFill="1" applyBorder="1" applyAlignment="1" applyProtection="1">
      <alignment horizontal="center" vertical="center" wrapText="1"/>
    </xf>
    <xf numFmtId="0" fontId="13" fillId="0" borderId="102" xfId="2" applyNumberFormat="1" applyFont="1" applyFill="1" applyBorder="1" applyAlignment="1" applyProtection="1">
      <alignment horizontal="center" vertical="center" wrapText="1"/>
    </xf>
    <xf numFmtId="0" fontId="32" fillId="2" borderId="69" xfId="0" quotePrefix="1" applyFont="1" applyFill="1" applyBorder="1" applyAlignment="1" applyProtection="1">
      <alignment horizontal="left" vertical="center" wrapText="1"/>
      <protection locked="0"/>
    </xf>
    <xf numFmtId="0" fontId="32" fillId="2" borderId="91" xfId="0" quotePrefix="1" applyFont="1" applyFill="1" applyBorder="1" applyAlignment="1" applyProtection="1">
      <alignment horizontal="left" vertical="center" wrapText="1"/>
      <protection locked="0"/>
    </xf>
    <xf numFmtId="0" fontId="32" fillId="2" borderId="98" xfId="0" quotePrefix="1" applyFont="1" applyFill="1" applyBorder="1" applyAlignment="1" applyProtection="1">
      <alignment horizontal="left" vertical="center" wrapText="1"/>
      <protection locked="0"/>
    </xf>
    <xf numFmtId="0" fontId="97" fillId="2" borderId="69" xfId="0" applyFont="1" applyFill="1" applyBorder="1" applyAlignment="1" applyProtection="1">
      <alignment horizontal="center" vertical="center" wrapText="1"/>
      <protection locked="0"/>
    </xf>
    <xf numFmtId="0" fontId="97" fillId="2" borderId="91" xfId="0" applyFont="1" applyFill="1" applyBorder="1" applyAlignment="1" applyProtection="1">
      <alignment horizontal="center" vertical="center" wrapText="1"/>
      <protection locked="0"/>
    </xf>
    <xf numFmtId="0" fontId="97" fillId="2" borderId="65" xfId="0" applyFont="1" applyFill="1" applyBorder="1" applyAlignment="1" applyProtection="1">
      <alignment horizontal="center" vertical="center" wrapText="1"/>
      <protection locked="0"/>
    </xf>
    <xf numFmtId="0" fontId="13" fillId="0" borderId="64" xfId="2" applyNumberFormat="1" applyFont="1" applyFill="1" applyBorder="1" applyAlignment="1" applyProtection="1">
      <alignment horizontal="center" vertical="center" wrapText="1"/>
    </xf>
    <xf numFmtId="0" fontId="52" fillId="6" borderId="17" xfId="0" applyFont="1" applyFill="1" applyBorder="1" applyAlignment="1" applyProtection="1">
      <alignment vertical="center"/>
      <protection locked="0"/>
    </xf>
    <xf numFmtId="0" fontId="13" fillId="0" borderId="69" xfId="2" applyNumberFormat="1" applyFont="1" applyFill="1" applyBorder="1" applyAlignment="1" applyProtection="1">
      <alignment horizontal="center" vertical="center" wrapText="1"/>
    </xf>
    <xf numFmtId="0" fontId="13" fillId="0" borderId="91" xfId="2" applyNumberFormat="1" applyFont="1" applyFill="1" applyBorder="1" applyAlignment="1" applyProtection="1">
      <alignment horizontal="center" vertical="center" wrapText="1"/>
    </xf>
    <xf numFmtId="0" fontId="13" fillId="0" borderId="99" xfId="2" applyNumberFormat="1" applyFont="1" applyFill="1" applyBorder="1" applyAlignment="1" applyProtection="1">
      <alignment horizontal="center" vertical="center" wrapText="1"/>
    </xf>
    <xf numFmtId="0" fontId="32" fillId="2" borderId="65" xfId="0" quotePrefix="1" applyFont="1" applyFill="1" applyBorder="1" applyAlignment="1" applyProtection="1">
      <alignment horizontal="left" vertical="center" wrapText="1"/>
      <protection locked="0"/>
    </xf>
    <xf numFmtId="0" fontId="13" fillId="0" borderId="61" xfId="2" applyNumberFormat="1" applyFont="1" applyFill="1" applyBorder="1" applyAlignment="1" applyProtection="1">
      <alignment horizontal="center" vertical="center" wrapText="1"/>
    </xf>
    <xf numFmtId="0" fontId="32" fillId="0" borderId="69" xfId="0" quotePrefix="1" applyFont="1" applyFill="1" applyBorder="1" applyAlignment="1" applyProtection="1">
      <alignment horizontal="left" vertical="center" wrapText="1"/>
      <protection locked="0"/>
    </xf>
    <xf numFmtId="0" fontId="32" fillId="0" borderId="65" xfId="0" quotePrefix="1" applyFont="1" applyFill="1" applyBorder="1" applyAlignment="1" applyProtection="1">
      <alignment horizontal="left" vertical="center" wrapText="1"/>
      <protection locked="0"/>
    </xf>
    <xf numFmtId="9" fontId="31" fillId="20" borderId="75" xfId="0" applyNumberFormat="1" applyFont="1" applyFill="1" applyBorder="1" applyAlignment="1" applyProtection="1">
      <alignment horizontal="center" vertical="center" wrapText="1"/>
    </xf>
    <xf numFmtId="9" fontId="31" fillId="20" borderId="77" xfId="0" applyNumberFormat="1" applyFont="1" applyFill="1" applyBorder="1" applyAlignment="1" applyProtection="1">
      <alignment horizontal="center" vertical="center" wrapText="1"/>
    </xf>
    <xf numFmtId="0" fontId="32" fillId="0" borderId="1" xfId="0" quotePrefix="1" applyFont="1" applyFill="1" applyBorder="1" applyAlignment="1" applyProtection="1">
      <alignment vertical="center" wrapText="1"/>
    </xf>
    <xf numFmtId="0" fontId="32" fillId="0" borderId="69" xfId="0" quotePrefix="1" applyFont="1" applyFill="1" applyBorder="1" applyAlignment="1" applyProtection="1">
      <alignment vertical="center" wrapText="1"/>
    </xf>
    <xf numFmtId="0" fontId="32" fillId="0" borderId="65" xfId="0" quotePrefix="1" applyFont="1" applyFill="1" applyBorder="1" applyAlignment="1" applyProtection="1">
      <alignment vertical="center" wrapText="1"/>
    </xf>
    <xf numFmtId="0" fontId="32" fillId="0" borderId="69" xfId="0" quotePrefix="1" applyFont="1" applyFill="1" applyBorder="1" applyAlignment="1" applyProtection="1">
      <alignment horizontal="left" vertical="center" wrapText="1"/>
    </xf>
    <xf numFmtId="0" fontId="32" fillId="0" borderId="91" xfId="0" quotePrefix="1" applyFont="1" applyFill="1" applyBorder="1" applyAlignment="1" applyProtection="1">
      <alignment horizontal="left" vertical="center" wrapText="1"/>
    </xf>
    <xf numFmtId="0" fontId="32" fillId="0" borderId="65" xfId="0" quotePrefix="1" applyFont="1" applyFill="1" applyBorder="1" applyAlignment="1" applyProtection="1">
      <alignment horizontal="left" vertical="center" wrapText="1"/>
    </xf>
    <xf numFmtId="49" fontId="104" fillId="18" borderId="38" xfId="0" applyNumberFormat="1" applyFont="1" applyFill="1" applyBorder="1" applyAlignment="1" applyProtection="1">
      <alignment horizontal="center" vertical="center"/>
    </xf>
    <xf numFmtId="49" fontId="104" fillId="18" borderId="39" xfId="0" applyNumberFormat="1" applyFont="1" applyFill="1" applyBorder="1" applyAlignment="1" applyProtection="1">
      <alignment horizontal="center" vertical="center"/>
    </xf>
    <xf numFmtId="49" fontId="104" fillId="18" borderId="40" xfId="0" applyNumberFormat="1" applyFont="1" applyFill="1" applyBorder="1" applyAlignment="1" applyProtection="1">
      <alignment horizontal="center" vertical="center"/>
    </xf>
    <xf numFmtId="9" fontId="31" fillId="5" borderId="68" xfId="0" applyNumberFormat="1" applyFont="1" applyFill="1" applyBorder="1" applyAlignment="1" applyProtection="1">
      <alignment horizontal="right" vertical="center" wrapText="1"/>
    </xf>
    <xf numFmtId="9" fontId="31" fillId="5" borderId="69" xfId="0" applyNumberFormat="1" applyFont="1" applyFill="1" applyBorder="1" applyAlignment="1" applyProtection="1">
      <alignment horizontal="right" vertical="center" wrapText="1"/>
    </xf>
    <xf numFmtId="0" fontId="32" fillId="5" borderId="9" xfId="0" applyFont="1" applyFill="1" applyBorder="1" applyAlignment="1" applyProtection="1">
      <alignment horizontal="right" vertical="center"/>
    </xf>
    <xf numFmtId="0" fontId="32" fillId="5" borderId="14" xfId="0" applyFont="1" applyFill="1" applyBorder="1" applyAlignment="1" applyProtection="1">
      <alignment horizontal="right" vertical="center"/>
    </xf>
    <xf numFmtId="0" fontId="32" fillId="5" borderId="24" xfId="0" applyFont="1" applyFill="1" applyBorder="1" applyAlignment="1" applyProtection="1">
      <alignment horizontal="right" vertical="center"/>
    </xf>
    <xf numFmtId="0" fontId="32" fillId="5" borderId="32" xfId="0" applyFont="1" applyFill="1" applyBorder="1" applyAlignment="1" applyProtection="1">
      <alignment horizontal="right" vertical="center"/>
    </xf>
    <xf numFmtId="0" fontId="32" fillId="5" borderId="23" xfId="0" applyFont="1" applyFill="1" applyBorder="1" applyAlignment="1" applyProtection="1">
      <alignment horizontal="right" vertical="center"/>
    </xf>
    <xf numFmtId="0" fontId="32" fillId="5" borderId="6" xfId="0" applyFont="1" applyFill="1" applyBorder="1" applyAlignment="1" applyProtection="1">
      <alignment horizontal="right" vertical="center"/>
    </xf>
    <xf numFmtId="0" fontId="32" fillId="5" borderId="11" xfId="0" applyFont="1" applyFill="1" applyBorder="1" applyAlignment="1" applyProtection="1">
      <alignment horizontal="right" vertical="center"/>
    </xf>
    <xf numFmtId="0" fontId="32" fillId="5" borderId="20" xfId="0" applyFont="1" applyFill="1" applyBorder="1" applyAlignment="1" applyProtection="1">
      <alignment horizontal="right" vertical="center"/>
    </xf>
    <xf numFmtId="0" fontId="59" fillId="19" borderId="73" xfId="2" applyFont="1" applyFill="1" applyBorder="1" applyAlignment="1" applyProtection="1">
      <alignment horizontal="center" vertical="center" wrapText="1"/>
    </xf>
    <xf numFmtId="0" fontId="59" fillId="19" borderId="78" xfId="2" applyFont="1" applyFill="1" applyBorder="1" applyAlignment="1" applyProtection="1">
      <alignment horizontal="center" vertical="center" wrapText="1"/>
    </xf>
    <xf numFmtId="9" fontId="13" fillId="5" borderId="72" xfId="0" quotePrefix="1" applyNumberFormat="1" applyFont="1" applyFill="1" applyBorder="1" applyAlignment="1" applyProtection="1">
      <alignment vertical="center" wrapText="1"/>
    </xf>
    <xf numFmtId="9" fontId="13" fillId="5" borderId="55" xfId="0" quotePrefix="1" applyNumberFormat="1" applyFont="1" applyFill="1" applyBorder="1" applyAlignment="1" applyProtection="1">
      <alignment vertical="center" wrapText="1"/>
    </xf>
    <xf numFmtId="0" fontId="33" fillId="5" borderId="72" xfId="0" applyNumberFormat="1" applyFont="1" applyFill="1" applyBorder="1" applyAlignment="1" applyProtection="1">
      <alignment horizontal="left" vertical="center" wrapText="1"/>
      <protection locked="0"/>
    </xf>
    <xf numFmtId="0" fontId="33" fillId="5" borderId="55" xfId="0" applyNumberFormat="1" applyFont="1" applyFill="1" applyBorder="1" applyAlignment="1" applyProtection="1">
      <alignment horizontal="left" vertical="center" wrapText="1"/>
      <protection locked="0"/>
    </xf>
    <xf numFmtId="0" fontId="33" fillId="5" borderId="0" xfId="0" applyNumberFormat="1" applyFont="1" applyFill="1" applyBorder="1" applyAlignment="1" applyProtection="1">
      <alignment vertical="center" wrapText="1"/>
      <protection locked="0"/>
    </xf>
    <xf numFmtId="0" fontId="33" fillId="5" borderId="22" xfId="0" applyNumberFormat="1" applyFont="1" applyFill="1" applyBorder="1" applyAlignment="1" applyProtection="1">
      <alignment vertical="center" wrapText="1"/>
      <protection locked="0"/>
    </xf>
    <xf numFmtId="0" fontId="29" fillId="5" borderId="5" xfId="0" applyNumberFormat="1" applyFont="1" applyFill="1" applyBorder="1" applyAlignment="1" applyProtection="1">
      <alignment horizontal="left" vertical="center" wrapText="1"/>
      <protection locked="0"/>
    </xf>
    <xf numFmtId="0" fontId="29" fillId="5" borderId="6" xfId="0" applyNumberFormat="1" applyFont="1" applyFill="1" applyBorder="1" applyAlignment="1" applyProtection="1">
      <alignment horizontal="left" vertical="center" wrapText="1"/>
      <protection locked="0"/>
    </xf>
    <xf numFmtId="0" fontId="29" fillId="5" borderId="44" xfId="0" applyNumberFormat="1" applyFont="1" applyFill="1" applyBorder="1" applyAlignment="1" applyProtection="1">
      <alignment horizontal="left" vertical="center" wrapText="1"/>
      <protection locked="0"/>
    </xf>
    <xf numFmtId="0" fontId="29" fillId="5" borderId="20" xfId="0" applyNumberFormat="1" applyFont="1" applyFill="1" applyBorder="1" applyAlignment="1" applyProtection="1">
      <alignment horizontal="left" vertical="center" wrapText="1"/>
      <protection locked="0"/>
    </xf>
    <xf numFmtId="0" fontId="59" fillId="19" borderId="74" xfId="2" applyFont="1" applyFill="1" applyBorder="1" applyAlignment="1" applyProtection="1">
      <alignment horizontal="center" vertical="center" wrapText="1"/>
    </xf>
    <xf numFmtId="0" fontId="57" fillId="19" borderId="73" xfId="2" applyFont="1" applyFill="1" applyBorder="1" applyAlignment="1" applyProtection="1">
      <alignment horizontal="center" vertical="center" wrapText="1"/>
    </xf>
    <xf numFmtId="0" fontId="57" fillId="19" borderId="78" xfId="2" applyFont="1" applyFill="1" applyBorder="1" applyAlignment="1" applyProtection="1">
      <alignment horizontal="center" vertical="center" wrapText="1"/>
    </xf>
    <xf numFmtId="0" fontId="57" fillId="19" borderId="96" xfId="2" applyFont="1" applyFill="1" applyBorder="1" applyAlignment="1" applyProtection="1">
      <alignment horizontal="center" vertical="center" wrapText="1"/>
    </xf>
    <xf numFmtId="0" fontId="59" fillId="19" borderId="93" xfId="2" applyNumberFormat="1" applyFont="1" applyFill="1" applyBorder="1" applyAlignment="1" applyProtection="1">
      <alignment horizontal="center" vertical="center" wrapText="1"/>
    </xf>
    <xf numFmtId="0" fontId="59" fillId="19" borderId="78" xfId="2" applyNumberFormat="1" applyFont="1" applyFill="1" applyBorder="1" applyAlignment="1" applyProtection="1">
      <alignment horizontal="center" vertical="center" wrapText="1"/>
    </xf>
    <xf numFmtId="0" fontId="59" fillId="19" borderId="74" xfId="2" applyNumberFormat="1" applyFont="1" applyFill="1" applyBorder="1" applyAlignment="1" applyProtection="1">
      <alignment horizontal="center" vertical="center" wrapText="1"/>
    </xf>
    <xf numFmtId="0" fontId="52" fillId="6" borderId="21" xfId="0" applyFont="1" applyFill="1" applyBorder="1" applyAlignment="1" applyProtection="1">
      <alignment vertical="center"/>
      <protection locked="0"/>
    </xf>
    <xf numFmtId="0" fontId="29" fillId="5" borderId="5" xfId="0" applyNumberFormat="1" applyFont="1" applyFill="1" applyBorder="1" applyAlignment="1" applyProtection="1">
      <alignment horizontal="center" vertical="top" wrapText="1"/>
      <protection locked="0"/>
    </xf>
    <xf numFmtId="0" fontId="29" fillId="5" borderId="0" xfId="0" applyNumberFormat="1" applyFont="1" applyFill="1" applyBorder="1" applyAlignment="1" applyProtection="1">
      <alignment horizontal="center" vertical="top" wrapText="1"/>
      <protection locked="0"/>
    </xf>
    <xf numFmtId="0" fontId="29" fillId="5" borderId="44" xfId="0" applyNumberFormat="1" applyFont="1" applyFill="1" applyBorder="1" applyAlignment="1" applyProtection="1">
      <alignment horizontal="center" vertical="top" wrapText="1"/>
      <protection locked="0"/>
    </xf>
    <xf numFmtId="0" fontId="13" fillId="5" borderId="4" xfId="0" applyNumberFormat="1" applyFont="1" applyFill="1" applyBorder="1" applyAlignment="1" applyProtection="1">
      <alignment vertical="center"/>
    </xf>
    <xf numFmtId="0" fontId="13" fillId="5" borderId="5" xfId="0" applyNumberFormat="1" applyFont="1" applyFill="1" applyBorder="1" applyAlignment="1" applyProtection="1">
      <alignment vertical="center"/>
    </xf>
    <xf numFmtId="0" fontId="13" fillId="5" borderId="2" xfId="0" applyNumberFormat="1" applyFont="1" applyFill="1" applyBorder="1" applyAlignment="1" applyProtection="1">
      <alignment vertical="center"/>
    </xf>
    <xf numFmtId="0" fontId="13" fillId="5" borderId="0" xfId="0" applyNumberFormat="1" applyFont="1" applyFill="1" applyBorder="1" applyAlignment="1" applyProtection="1">
      <alignment vertical="center"/>
    </xf>
    <xf numFmtId="0" fontId="13" fillId="5" borderId="107" xfId="0" applyNumberFormat="1" applyFont="1" applyFill="1" applyBorder="1" applyAlignment="1" applyProtection="1">
      <alignment vertical="center"/>
    </xf>
    <xf numFmtId="0" fontId="13" fillId="5" borderId="44" xfId="0" applyNumberFormat="1" applyFont="1" applyFill="1" applyBorder="1" applyAlignment="1" applyProtection="1">
      <alignment vertical="center"/>
    </xf>
    <xf numFmtId="0" fontId="108" fillId="0" borderId="16" xfId="0" applyNumberFormat="1" applyFont="1" applyBorder="1" applyProtection="1"/>
    <xf numFmtId="0" fontId="58" fillId="0" borderId="16" xfId="0" applyFont="1" applyBorder="1" applyAlignment="1" applyProtection="1">
      <alignment horizontal="center" vertical="center"/>
    </xf>
    <xf numFmtId="0" fontId="74" fillId="6" borderId="0" xfId="0" applyFont="1" applyFill="1" applyAlignment="1" applyProtection="1">
      <alignment horizontal="center" vertical="center" wrapText="1"/>
    </xf>
    <xf numFmtId="0" fontId="97" fillId="2" borderId="97" xfId="0" applyFont="1" applyFill="1" applyBorder="1" applyAlignment="1" applyProtection="1">
      <alignment horizontal="center" vertical="center" wrapText="1"/>
      <protection locked="0"/>
    </xf>
    <xf numFmtId="0" fontId="32" fillId="0" borderId="69" xfId="0" quotePrefix="1" applyNumberFormat="1" applyFont="1" applyFill="1" applyBorder="1" applyAlignment="1" applyProtection="1">
      <alignment horizontal="left" vertical="center" wrapText="1"/>
    </xf>
    <xf numFmtId="0" fontId="32" fillId="0" borderId="65" xfId="0" applyNumberFormat="1" applyFont="1" applyFill="1" applyBorder="1" applyAlignment="1" applyProtection="1">
      <alignment horizontal="left" vertical="center" wrapText="1"/>
    </xf>
    <xf numFmtId="0" fontId="13" fillId="0" borderId="65" xfId="2" applyNumberFormat="1"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94" fillId="16" borderId="25" xfId="0" applyFont="1" applyFill="1" applyBorder="1" applyAlignment="1" applyProtection="1">
      <alignment horizontal="center" vertical="center" wrapText="1"/>
    </xf>
    <xf numFmtId="0" fontId="94" fillId="16" borderId="26" xfId="0" applyFont="1" applyFill="1" applyBorder="1" applyAlignment="1" applyProtection="1">
      <alignment horizontal="center" vertical="center" wrapText="1"/>
    </xf>
    <xf numFmtId="49" fontId="40" fillId="19" borderId="4" xfId="0" applyNumberFormat="1" applyFont="1" applyFill="1" applyBorder="1" applyAlignment="1" applyProtection="1">
      <alignment horizontal="center" vertical="center"/>
    </xf>
    <xf numFmtId="9" fontId="40" fillId="19" borderId="5" xfId="0" applyNumberFormat="1" applyFont="1" applyFill="1" applyBorder="1" applyAlignment="1" applyProtection="1">
      <alignment horizontal="center" vertical="center"/>
    </xf>
    <xf numFmtId="0" fontId="46" fillId="6" borderId="41" xfId="2" applyFont="1" applyFill="1" applyBorder="1" applyAlignment="1" applyProtection="1">
      <alignment horizontal="right" vertical="center" wrapText="1"/>
    </xf>
    <xf numFmtId="0" fontId="46" fillId="6" borderId="42" xfId="2" applyFont="1" applyFill="1" applyBorder="1" applyAlignment="1" applyProtection="1">
      <alignment horizontal="right" vertical="center" wrapText="1"/>
    </xf>
    <xf numFmtId="0" fontId="63" fillId="6" borderId="42" xfId="2" applyNumberFormat="1" applyFont="1" applyFill="1" applyBorder="1" applyAlignment="1" applyProtection="1">
      <alignment horizontal="left" vertical="center"/>
    </xf>
    <xf numFmtId="0" fontId="63" fillId="6" borderId="43" xfId="2" applyNumberFormat="1" applyFont="1" applyFill="1" applyBorder="1" applyAlignment="1" applyProtection="1">
      <alignment horizontal="left" vertical="center"/>
    </xf>
    <xf numFmtId="0" fontId="46" fillId="6" borderId="33" xfId="2" applyFont="1" applyFill="1" applyBorder="1" applyAlignment="1" applyProtection="1">
      <alignment horizontal="right" vertical="center" wrapText="1"/>
    </xf>
    <xf numFmtId="0" fontId="46" fillId="6" borderId="0" xfId="2" applyFont="1" applyFill="1" applyBorder="1" applyAlignment="1" applyProtection="1">
      <alignment horizontal="right" vertical="center" wrapText="1"/>
    </xf>
    <xf numFmtId="0" fontId="63" fillId="6" borderId="0" xfId="2" applyNumberFormat="1" applyFont="1" applyFill="1" applyBorder="1" applyAlignment="1" applyProtection="1">
      <alignment vertical="center"/>
    </xf>
    <xf numFmtId="0" fontId="63" fillId="6" borderId="34" xfId="2" applyNumberFormat="1" applyFont="1" applyFill="1" applyBorder="1" applyAlignment="1" applyProtection="1">
      <alignment vertical="center"/>
    </xf>
    <xf numFmtId="0" fontId="63" fillId="6" borderId="33" xfId="0" applyFont="1" applyFill="1" applyBorder="1" applyAlignment="1" applyProtection="1">
      <alignment horizontal="left" vertical="center"/>
    </xf>
    <xf numFmtId="0" fontId="63" fillId="6" borderId="34" xfId="0" applyFont="1" applyFill="1" applyBorder="1" applyAlignment="1" applyProtection="1">
      <alignment horizontal="left" vertical="center"/>
    </xf>
    <xf numFmtId="0" fontId="63" fillId="6" borderId="46" xfId="0" applyFont="1" applyFill="1" applyBorder="1" applyAlignment="1" applyProtection="1">
      <alignment horizontal="left" vertical="center"/>
    </xf>
    <xf numFmtId="0" fontId="63" fillId="6" borderId="48" xfId="0" applyFont="1" applyFill="1" applyBorder="1" applyAlignment="1" applyProtection="1">
      <alignment horizontal="left" vertical="center"/>
    </xf>
    <xf numFmtId="0" fontId="46" fillId="6" borderId="46" xfId="2" applyFont="1" applyFill="1" applyBorder="1" applyAlignment="1" applyProtection="1">
      <alignment horizontal="right" vertical="center" wrapText="1"/>
    </xf>
    <xf numFmtId="0" fontId="46" fillId="6" borderId="47" xfId="2" applyFont="1" applyFill="1" applyBorder="1" applyAlignment="1" applyProtection="1">
      <alignment horizontal="right" vertical="center" wrapText="1"/>
    </xf>
    <xf numFmtId="9" fontId="10" fillId="16" borderId="4" xfId="0" applyNumberFormat="1" applyFont="1" applyFill="1" applyBorder="1" applyAlignment="1" applyProtection="1">
      <alignment horizontal="center" vertical="center"/>
    </xf>
    <xf numFmtId="9" fontId="10" fillId="16" borderId="5" xfId="0" applyNumberFormat="1" applyFont="1" applyFill="1" applyBorder="1" applyAlignment="1" applyProtection="1">
      <alignment horizontal="center" vertical="center"/>
    </xf>
    <xf numFmtId="9" fontId="10" fillId="16" borderId="6" xfId="0" applyNumberFormat="1" applyFont="1" applyFill="1" applyBorder="1" applyAlignment="1" applyProtection="1">
      <alignment horizontal="center" vertical="center"/>
    </xf>
    <xf numFmtId="0" fontId="13" fillId="17" borderId="27" xfId="0" applyNumberFormat="1" applyFont="1" applyFill="1" applyBorder="1" applyAlignment="1" applyProtection="1">
      <alignment horizontal="center" vertical="center" wrapText="1"/>
    </xf>
    <xf numFmtId="0" fontId="13" fillId="17" borderId="28" xfId="0" applyNumberFormat="1" applyFont="1" applyFill="1" applyBorder="1" applyAlignment="1" applyProtection="1">
      <alignment horizontal="center" vertical="center" wrapText="1"/>
    </xf>
    <xf numFmtId="0" fontId="13" fillId="17" borderId="29" xfId="0" applyNumberFormat="1" applyFont="1" applyFill="1" applyBorder="1" applyAlignment="1" applyProtection="1">
      <alignment horizontal="center" vertical="center" wrapText="1"/>
    </xf>
    <xf numFmtId="0" fontId="13" fillId="14" borderId="10" xfId="0" applyFont="1" applyFill="1" applyBorder="1" applyAlignment="1" applyProtection="1">
      <alignment horizontal="center" vertical="center"/>
    </xf>
    <xf numFmtId="0" fontId="13" fillId="14" borderId="14" xfId="0" applyFont="1" applyFill="1" applyBorder="1" applyAlignment="1" applyProtection="1">
      <alignment horizontal="center" vertical="center"/>
    </xf>
    <xf numFmtId="0" fontId="55" fillId="4" borderId="2" xfId="0" applyFont="1" applyFill="1" applyBorder="1" applyAlignment="1" applyProtection="1">
      <alignment horizontal="center" vertical="center"/>
    </xf>
    <xf numFmtId="0" fontId="55" fillId="4" borderId="0" xfId="0" applyFont="1" applyFill="1" applyBorder="1" applyAlignment="1" applyProtection="1">
      <alignment horizontal="center" vertical="center"/>
    </xf>
    <xf numFmtId="0" fontId="55" fillId="4" borderId="8" xfId="0" applyFont="1" applyFill="1" applyBorder="1" applyAlignment="1" applyProtection="1">
      <alignment horizontal="center" vertical="center"/>
    </xf>
    <xf numFmtId="0" fontId="18" fillId="6" borderId="7" xfId="0" applyFont="1" applyFill="1" applyBorder="1" applyAlignment="1" applyProtection="1">
      <alignment horizontal="right" vertical="center"/>
    </xf>
    <xf numFmtId="0" fontId="18" fillId="6" borderId="0" xfId="0" applyFont="1" applyFill="1" applyBorder="1" applyAlignment="1" applyProtection="1">
      <alignment horizontal="right" vertical="center"/>
    </xf>
    <xf numFmtId="9" fontId="40" fillId="19" borderId="4" xfId="0" applyNumberFormat="1" applyFont="1" applyFill="1" applyBorder="1" applyAlignment="1" applyProtection="1">
      <alignment horizontal="center" vertical="center"/>
    </xf>
    <xf numFmtId="9" fontId="40" fillId="19" borderId="6" xfId="0" applyNumberFormat="1" applyFont="1" applyFill="1" applyBorder="1" applyAlignment="1" applyProtection="1">
      <alignment horizontal="center" vertical="center"/>
    </xf>
    <xf numFmtId="0" fontId="83" fillId="14" borderId="10" xfId="0" applyFont="1" applyFill="1" applyBorder="1" applyAlignment="1" applyProtection="1">
      <alignment horizontal="center" vertical="center"/>
    </xf>
    <xf numFmtId="0" fontId="83" fillId="14" borderId="14" xfId="0" applyFont="1" applyFill="1" applyBorder="1" applyAlignment="1" applyProtection="1">
      <alignment horizontal="center" vertical="center"/>
    </xf>
    <xf numFmtId="0" fontId="2" fillId="6" borderId="30" xfId="2" applyFont="1" applyFill="1" applyBorder="1" applyAlignment="1" applyProtection="1">
      <alignment horizontal="right" vertical="center" wrapText="1"/>
    </xf>
    <xf numFmtId="0" fontId="2" fillId="6" borderId="10" xfId="2" applyFont="1" applyFill="1" applyBorder="1" applyAlignment="1" applyProtection="1">
      <alignment horizontal="right" vertical="center" wrapText="1"/>
    </xf>
    <xf numFmtId="9" fontId="2" fillId="6" borderId="10" xfId="2" applyNumberFormat="1" applyFont="1" applyFill="1" applyBorder="1" applyAlignment="1" applyProtection="1">
      <alignment vertical="center" wrapText="1"/>
    </xf>
    <xf numFmtId="0" fontId="2" fillId="6" borderId="14" xfId="2" applyNumberFormat="1" applyFont="1" applyFill="1" applyBorder="1" applyAlignment="1" applyProtection="1">
      <alignment vertical="center" wrapText="1"/>
    </xf>
    <xf numFmtId="9" fontId="19" fillId="6" borderId="7" xfId="0" applyNumberFormat="1" applyFont="1" applyFill="1" applyBorder="1" applyAlignment="1" applyProtection="1">
      <alignment horizontal="left" vertical="center" wrapText="1"/>
    </xf>
    <xf numFmtId="0" fontId="19" fillId="6" borderId="22" xfId="0" applyFont="1" applyFill="1" applyBorder="1" applyAlignment="1" applyProtection="1">
      <alignment horizontal="left" vertical="center" wrapText="1"/>
    </xf>
    <xf numFmtId="0" fontId="19" fillId="6" borderId="24" xfId="0" applyFont="1" applyFill="1" applyBorder="1" applyAlignment="1" applyProtection="1">
      <alignment horizontal="left" vertical="center" wrapText="1"/>
    </xf>
    <xf numFmtId="0" fontId="19" fillId="6" borderId="21" xfId="0" applyFont="1" applyFill="1" applyBorder="1" applyAlignment="1" applyProtection="1">
      <alignment horizontal="left" vertical="center" wrapText="1"/>
    </xf>
    <xf numFmtId="9" fontId="2" fillId="6" borderId="9" xfId="2" applyNumberFormat="1" applyFont="1" applyFill="1" applyBorder="1" applyAlignment="1" applyProtection="1">
      <alignment horizontal="left" vertical="center" wrapText="1"/>
    </xf>
    <xf numFmtId="9" fontId="2" fillId="6" borderId="31" xfId="2" applyNumberFormat="1" applyFont="1" applyFill="1" applyBorder="1" applyAlignment="1" applyProtection="1">
      <alignment horizontal="left" vertical="center" wrapText="1"/>
    </xf>
    <xf numFmtId="0" fontId="2" fillId="6" borderId="2" xfId="2" applyFont="1" applyFill="1" applyBorder="1" applyAlignment="1" applyProtection="1">
      <alignment horizontal="right" vertical="center" wrapText="1"/>
    </xf>
    <xf numFmtId="0" fontId="2" fillId="6" borderId="0" xfId="2" applyFont="1" applyFill="1" applyBorder="1" applyAlignment="1" applyProtection="1">
      <alignment horizontal="right" vertical="center" wrapText="1"/>
    </xf>
    <xf numFmtId="9" fontId="2" fillId="6" borderId="0" xfId="2" applyNumberFormat="1" applyFont="1" applyFill="1" applyBorder="1" applyAlignment="1" applyProtection="1">
      <alignment vertical="center"/>
    </xf>
    <xf numFmtId="0" fontId="2" fillId="6" borderId="8" xfId="2" applyNumberFormat="1" applyFont="1" applyFill="1" applyBorder="1" applyAlignment="1" applyProtection="1">
      <alignment vertical="center"/>
    </xf>
    <xf numFmtId="0" fontId="2" fillId="6" borderId="3" xfId="2" applyFont="1" applyFill="1" applyBorder="1" applyAlignment="1" applyProtection="1">
      <alignment horizontal="right" vertical="center" wrapText="1"/>
    </xf>
    <xf numFmtId="0" fontId="2" fillId="6" borderId="17" xfId="2" applyFont="1" applyFill="1" applyBorder="1" applyAlignment="1" applyProtection="1">
      <alignment horizontal="right" vertical="center" wrapText="1"/>
    </xf>
    <xf numFmtId="0" fontId="32" fillId="6" borderId="69" xfId="0" quotePrefix="1" applyFont="1" applyFill="1" applyBorder="1" applyAlignment="1" applyProtection="1">
      <alignment horizontal="left" vertical="center" wrapText="1"/>
    </xf>
    <xf numFmtId="0" fontId="32" fillId="6" borderId="91" xfId="0" quotePrefix="1" applyFont="1" applyFill="1" applyBorder="1" applyAlignment="1" applyProtection="1">
      <alignment horizontal="left" vertical="center" wrapText="1"/>
    </xf>
    <xf numFmtId="9" fontId="31" fillId="20" borderId="76" xfId="0" applyNumberFormat="1" applyFont="1" applyFill="1" applyBorder="1" applyAlignment="1" applyProtection="1">
      <alignment horizontal="center" vertical="center" wrapText="1"/>
    </xf>
    <xf numFmtId="0" fontId="32" fillId="6" borderId="65" xfId="0" quotePrefix="1" applyFont="1" applyFill="1" applyBorder="1" applyAlignment="1" applyProtection="1">
      <alignment horizontal="left" vertical="center" wrapText="1"/>
    </xf>
    <xf numFmtId="0" fontId="32" fillId="6" borderId="1" xfId="0" quotePrefix="1" applyFont="1" applyFill="1" applyBorder="1" applyAlignment="1" applyProtection="1">
      <alignment vertical="center" wrapText="1"/>
    </xf>
    <xf numFmtId="0" fontId="32" fillId="6" borderId="69" xfId="0" quotePrefix="1" applyFont="1" applyFill="1" applyBorder="1" applyAlignment="1" applyProtection="1">
      <alignment vertical="center" wrapText="1"/>
    </xf>
    <xf numFmtId="0" fontId="32" fillId="6" borderId="65" xfId="0" quotePrefix="1" applyFont="1" applyFill="1" applyBorder="1" applyAlignment="1" applyProtection="1">
      <alignment vertical="center" wrapText="1"/>
    </xf>
  </cellXfs>
  <cellStyles count="8">
    <cellStyle name="Lien hypertexte" xfId="1" builtinId="8"/>
    <cellStyle name="Milliers" xfId="6" builtinId="3"/>
    <cellStyle name="Normal" xfId="0" builtinId="0"/>
    <cellStyle name="Normal 2" xfId="2"/>
    <cellStyle name="Normal 2 2" xfId="3"/>
    <cellStyle name="Normal 3" xfId="4"/>
    <cellStyle name="Pourcentage" xfId="7" builtinId="5"/>
    <cellStyle name="常规 2" xfId="5"/>
  </cellStyles>
  <dxfs count="5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ont>
        <b/>
        <i val="0"/>
      </font>
      <fill>
        <patternFill>
          <bgColor rgb="FFD7D7D7"/>
        </patternFill>
      </fill>
    </dxf>
    <dxf>
      <font>
        <b val="0"/>
        <i val="0"/>
      </font>
      <fill>
        <patternFill patternType="none">
          <bgColor indexed="65"/>
        </patternFill>
      </fill>
    </dxf>
  </dxfs>
  <tableStyles count="1" defaultTableStyle="TableStyleMedium2" defaultPivotStyle="PivotStyleMedium4">
    <tableStyle name="MySqlDefault" pivot="0" table="0" count="2">
      <tableStyleElement type="wholeTable" dxfId="56"/>
      <tableStyleElement type="headerRow" dxfId="55"/>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828FC"/>
      <color rgb="FF0000FF"/>
      <color rgb="FFFFFF99"/>
      <color rgb="FF9900CC"/>
      <color rgb="FF003E00"/>
      <color rgb="FF003300"/>
      <color rgb="FFED1C24"/>
      <color rgb="FF2BB9F9"/>
      <color rgb="FFFCD4D6"/>
      <color rgb="FFF68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16636609631611E-2"/>
          <c:y val="0.18053845367606758"/>
          <c:w val="0.8687455165601502"/>
          <c:h val="0.64759287070357885"/>
        </c:manualLayout>
      </c:layout>
      <c:pieChart>
        <c:varyColors val="1"/>
        <c:ser>
          <c:idx val="0"/>
          <c:order val="0"/>
          <c:dPt>
            <c:idx val="0"/>
            <c:bubble3D val="0"/>
            <c:spPr>
              <a:solidFill>
                <a:srgbClr val="ED1C24"/>
              </a:solidFill>
              <a:ln w="19050">
                <a:solidFill>
                  <a:schemeClr val="lt1"/>
                </a:solidFill>
              </a:ln>
              <a:effectLst/>
            </c:spPr>
            <c:extLst>
              <c:ext xmlns:c16="http://schemas.microsoft.com/office/drawing/2014/chart" uri="{C3380CC4-5D6E-409C-BE32-E72D297353CC}">
                <c16:uniqueId val="{00000001-6F18-4FD8-BAC9-12D03963DB14}"/>
              </c:ext>
            </c:extLst>
          </c:dPt>
          <c:dPt>
            <c:idx val="1"/>
            <c:bubble3D val="0"/>
            <c:spPr>
              <a:solidFill>
                <a:srgbClr val="F68A8F"/>
              </a:solidFill>
              <a:ln w="19050">
                <a:solidFill>
                  <a:schemeClr val="lt1"/>
                </a:solidFill>
              </a:ln>
              <a:effectLst/>
            </c:spPr>
            <c:extLst>
              <c:ext xmlns:c16="http://schemas.microsoft.com/office/drawing/2014/chart" uri="{C3380CC4-5D6E-409C-BE32-E72D297353CC}">
                <c16:uniqueId val="{00000003-6F18-4FD8-BAC9-12D03963DB14}"/>
              </c:ext>
            </c:extLst>
          </c:dPt>
          <c:dPt>
            <c:idx val="2"/>
            <c:bubble3D val="0"/>
            <c:spPr>
              <a:solidFill>
                <a:srgbClr val="97E4FF"/>
              </a:solidFill>
              <a:ln w="19050">
                <a:solidFill>
                  <a:schemeClr val="lt1"/>
                </a:solidFill>
              </a:ln>
              <a:effectLst/>
            </c:spPr>
            <c:extLst>
              <c:ext xmlns:c16="http://schemas.microsoft.com/office/drawing/2014/chart" uri="{C3380CC4-5D6E-409C-BE32-E72D297353CC}">
                <c16:uniqueId val="{00000005-6F18-4FD8-BAC9-12D03963DB14}"/>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6F18-4FD8-BAC9-12D03963DB14}"/>
              </c:ext>
            </c:extLst>
          </c:dPt>
          <c:dPt>
            <c:idx val="4"/>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9-6F18-4FD8-BAC9-12D03963DB14}"/>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'Résultats Globaux'!$Q$13:$Q$17</c:f>
              <c:strCache>
                <c:ptCount val="5"/>
                <c:pt idx="0">
                  <c:v>Non - Conforme</c:v>
                </c:pt>
                <c:pt idx="1">
                  <c:v>Conforme Partiellement </c:v>
                </c:pt>
                <c:pt idx="2">
                  <c:v>Conforme</c:v>
                </c:pt>
                <c:pt idx="3">
                  <c:v>Optimisé</c:v>
                </c:pt>
                <c:pt idx="4">
                  <c:v>Non applicable</c:v>
                </c:pt>
              </c:strCache>
            </c:strRef>
          </c:cat>
          <c:val>
            <c:numRef>
              <c:f>'Résultats Globaux'!$S$13:$S$17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6F18-4FD8-BAC9-12D03963DB1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7.8470311414776769E-2"/>
          <c:y val="0.73225571053804883"/>
          <c:w val="0.84305883413458271"/>
          <c:h val="0.24229547014355873"/>
        </c:manualLayout>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fr-FR"/>
    </a:p>
  </c:txPr>
  <c:printSettings>
    <c:headerFooter/>
    <c:pageMargins b="0.78740157499999996" l="0.511811024" r="0.511811024" t="0.78740157499999996" header="0.31496062000000002" footer="0.314960620000000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44769798425943"/>
          <c:y val="0.27338269267777054"/>
          <c:w val="0.50485054619481251"/>
          <c:h val="0.51149372634199741"/>
        </c:manualLayout>
      </c:layout>
      <c:radarChart>
        <c:radarStyle val="filled"/>
        <c:varyColors val="0"/>
        <c:ser>
          <c:idx val="1"/>
          <c:order val="0"/>
          <c:tx>
            <c:v>Article 5</c:v>
          </c:tx>
          <c:spPr>
            <a:solidFill>
              <a:srgbClr val="7030A0">
                <a:alpha val="52940"/>
              </a:srgbClr>
            </a:solidFill>
            <a:ln w="25400">
              <a:solidFill>
                <a:srgbClr val="993366"/>
              </a:solidFill>
              <a:prstDash val="solid"/>
            </a:ln>
          </c:spPr>
          <c:cat>
            <c:multiLvlStrRef>
              <c:f>'Résultats Globaux'!$C$58:$E$60</c:f>
              <c:multiLvlStrCache>
                <c:ptCount val="3"/>
                <c:lvl>
                  <c:pt idx="0">
                    <c:v>Généralités</c:v>
                  </c:pt>
                  <c:pt idx="1">
                    <c:v>Non-conformité et action corrective</c:v>
                  </c:pt>
                  <c:pt idx="2">
                    <c:v>Amélioration continue</c:v>
                  </c:pt>
                </c:lvl>
                <c:lvl>
                  <c:pt idx="0">
                    <c:v>10.1</c:v>
                  </c:pt>
                  <c:pt idx="1">
                    <c:v>10.2</c:v>
                  </c:pt>
                  <c:pt idx="2">
                    <c:v>10.3</c:v>
                  </c:pt>
                </c:lvl>
              </c:multiLvlStrCache>
            </c:multiLvlStrRef>
          </c:cat>
          <c:val>
            <c:numRef>
              <c:f>'Résultats Globaux'!$H$58:$H$60</c:f>
              <c:numCache>
                <c:formatCode>0%</c:formatCode>
                <c:ptCount val="3"/>
                <c:pt idx="0">
                  <c:v>0</c:v>
                </c:pt>
                <c:pt idx="1">
                  <c:v>0</c:v>
                </c:pt>
                <c:pt idx="2">
                  <c:v>0</c:v>
                </c:pt>
              </c:numCache>
            </c:numRef>
          </c:val>
          <c:extLst>
            <c:ext xmlns:c16="http://schemas.microsoft.com/office/drawing/2014/chart" uri="{C3380CC4-5D6E-409C-BE32-E72D297353CC}">
              <c16:uniqueId val="{00000000-E487-41C1-8254-8F52BEE39815}"/>
            </c:ext>
          </c:extLst>
        </c:ser>
        <c:ser>
          <c:idx val="0"/>
          <c:order val="1"/>
          <c:tx>
            <c:v>Article 5</c:v>
          </c:tx>
          <c:spPr>
            <a:solidFill>
              <a:srgbClr val="7030A0">
                <a:alpha val="52940"/>
              </a:srgbClr>
            </a:solidFill>
            <a:ln w="25400">
              <a:solidFill>
                <a:srgbClr val="993366"/>
              </a:solidFill>
              <a:prstDash val="solid"/>
            </a:ln>
          </c:spPr>
          <c:dLbls>
            <c:dLbl>
              <c:idx val="0"/>
              <c:layout>
                <c:manualLayout>
                  <c:x val="7.1428656645192004E-2"/>
                  <c:y val="8.4905075641055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87-41C1-8254-8F52BEE39815}"/>
                </c:ext>
              </c:extLst>
            </c:dLbl>
            <c:dLbl>
              <c:idx val="1"/>
              <c:layout>
                <c:manualLayout>
                  <c:x val="-8.3333333333333204E-2"/>
                  <c:y val="1.4575882096370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87-41C1-8254-8F52BEE39815}"/>
                </c:ext>
              </c:extLst>
            </c:dLbl>
            <c:dLbl>
              <c:idx val="2"/>
              <c:layout>
                <c:manualLayout>
                  <c:x val="3.0302831464248805E-2"/>
                  <c:y val="-8.1632653061224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87-41C1-8254-8F52BEE39815}"/>
                </c:ext>
              </c:extLst>
            </c:dLbl>
            <c:spPr>
              <a:noFill/>
              <a:ln w="25400">
                <a:noFill/>
              </a:ln>
            </c:spPr>
            <c:txPr>
              <a:bodyPr/>
              <a:lstStyle/>
              <a:p>
                <a:pPr algn="ctr" rtl="1">
                  <a:defRPr sz="1000" b="1" i="0" u="none" strike="noStrike" baseline="0">
                    <a:solidFill>
                      <a:srgbClr val="DD0806"/>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Globaux'!$C$58:$E$60</c:f>
              <c:multiLvlStrCache>
                <c:ptCount val="3"/>
                <c:lvl>
                  <c:pt idx="0">
                    <c:v>Généralités</c:v>
                  </c:pt>
                  <c:pt idx="1">
                    <c:v>Non-conformité et action corrective</c:v>
                  </c:pt>
                  <c:pt idx="2">
                    <c:v>Amélioration continue</c:v>
                  </c:pt>
                </c:lvl>
                <c:lvl>
                  <c:pt idx="0">
                    <c:v>10.1</c:v>
                  </c:pt>
                  <c:pt idx="1">
                    <c:v>10.2</c:v>
                  </c:pt>
                  <c:pt idx="2">
                    <c:v>10.3</c:v>
                  </c:pt>
                </c:lvl>
              </c:multiLvlStrCache>
            </c:multiLvlStrRef>
          </c:cat>
          <c:val>
            <c:numRef>
              <c:f>'Résultats Globaux'!$H$58:$H$60</c:f>
              <c:numCache>
                <c:formatCode>0%</c:formatCode>
                <c:ptCount val="3"/>
                <c:pt idx="0">
                  <c:v>0</c:v>
                </c:pt>
                <c:pt idx="1">
                  <c:v>0</c:v>
                </c:pt>
                <c:pt idx="2">
                  <c:v>0</c:v>
                </c:pt>
              </c:numCache>
            </c:numRef>
          </c:val>
          <c:extLst>
            <c:ext xmlns:c16="http://schemas.microsoft.com/office/drawing/2014/chart" uri="{C3380CC4-5D6E-409C-BE32-E72D297353CC}">
              <c16:uniqueId val="{00000004-E487-41C1-8254-8F52BEE39815}"/>
            </c:ext>
          </c:extLst>
        </c:ser>
        <c:dLbls>
          <c:showLegendKey val="0"/>
          <c:showVal val="0"/>
          <c:showCatName val="0"/>
          <c:showSerName val="0"/>
          <c:showPercent val="0"/>
          <c:showBubbleSize val="0"/>
        </c:dLbls>
        <c:axId val="281177192"/>
        <c:axId val="281177584"/>
      </c:radarChart>
      <c:catAx>
        <c:axId val="28117719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281177584"/>
        <c:crosses val="autoZero"/>
        <c:auto val="0"/>
        <c:lblAlgn val="ctr"/>
        <c:lblOffset val="100"/>
        <c:noMultiLvlLbl val="0"/>
      </c:catAx>
      <c:valAx>
        <c:axId val="281177584"/>
        <c:scaling>
          <c:orientation val="minMax"/>
          <c:max val="1"/>
          <c:min val="0"/>
        </c:scaling>
        <c:delete val="0"/>
        <c:axPos val="l"/>
        <c:majorGridlines>
          <c:spPr>
            <a:ln w="3175">
              <a:solidFill>
                <a:srgbClr val="808080"/>
              </a:solidFill>
              <a:prstDash val="sysDash"/>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281177192"/>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pageMargins b="0.98425196899999956" l="0.75000000000000344" r="0.75000000000000344" t="0.98425196899999956"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71686027728542"/>
          <c:y val="0.21628825125604884"/>
          <c:w val="0.65370346233093402"/>
          <c:h val="0.76305975989087971"/>
        </c:manualLayout>
      </c:layout>
      <c:radarChart>
        <c:radarStyle val="filled"/>
        <c:varyColors val="0"/>
        <c:ser>
          <c:idx val="1"/>
          <c:order val="0"/>
          <c:tx>
            <c:v>Conformité des Articles</c:v>
          </c:tx>
          <c:spPr>
            <a:solidFill>
              <a:srgbClr val="C0504D">
                <a:alpha val="25098"/>
              </a:srgbClr>
            </a:solidFill>
            <a:ln w="25400">
              <a:solidFill>
                <a:srgbClr val="993366"/>
              </a:solidFill>
              <a:prstDash val="solid"/>
            </a:ln>
          </c:spPr>
          <c:cat>
            <c:multiLvlStrRef>
              <c:f>('Résultats Globaux'!$B$26:$F$26,'Résultats Globaux'!$B$31:$F$31,'Résultats Globaux'!$B$35:$F$35,'Résultats Globaux'!$B$39:$F$39,'Résultats Globaux'!$B$45:$F$45,'Résultats Globaux'!$B$53:$F$53,'Résultats Globaux'!$B$57:$F$57)</c:f>
              <c:multiLvlStrCache>
                <c:ptCount val="7"/>
                <c:lvl>
                  <c:pt idx="0">
                    <c:v>Contexte de l'organisme</c:v>
                  </c:pt>
                  <c:pt idx="1">
                    <c:v>Leadership</c:v>
                  </c:pt>
                  <c:pt idx="2">
                    <c:v>Planification</c:v>
                  </c:pt>
                  <c:pt idx="3">
                    <c:v>Support</c:v>
                  </c:pt>
                  <c:pt idx="4">
                    <c:v>Réalisation des activités opérationnelles</c:v>
                  </c:pt>
                  <c:pt idx="5">
                    <c:v>Évaluation des performances</c:v>
                  </c:pt>
                  <c:pt idx="6">
                    <c:v>Amélioration</c:v>
                  </c:pt>
                </c:lvl>
                <c:lvl>
                  <c:pt idx="0">
                    <c:v>4</c:v>
                  </c:pt>
                  <c:pt idx="1">
                    <c:v>5</c:v>
                  </c:pt>
                  <c:pt idx="2">
                    <c:v>6</c:v>
                  </c:pt>
                  <c:pt idx="3">
                    <c:v>7</c:v>
                  </c:pt>
                  <c:pt idx="4">
                    <c:v>8</c:v>
                  </c:pt>
                  <c:pt idx="5">
                    <c:v>9</c:v>
                  </c:pt>
                  <c:pt idx="6">
                    <c:v>10</c:v>
                  </c:pt>
                </c:lvl>
              </c:multiLvlStrCache>
            </c:multiLvlStrRef>
          </c:cat>
          <c:val>
            <c:numRef>
              <c:f>('Résultats Globaux'!$H$26,'Résultats Globaux'!$H$31,'Résultats Globaux'!$H$35,'Résultats Globaux'!$H$39,'Résultats Globaux'!$H$45,'Résultats Globaux'!$H$53,'Résultats Globaux'!$H$57)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5B0-4C9C-A291-D6A01C615F22}"/>
            </c:ext>
          </c:extLst>
        </c:ser>
        <c:ser>
          <c:idx val="0"/>
          <c:order val="1"/>
          <c:tx>
            <c:v>Conformité des Articles</c:v>
          </c:tx>
          <c:spPr>
            <a:solidFill>
              <a:srgbClr val="C0504D">
                <a:alpha val="25098"/>
              </a:srgbClr>
            </a:solidFill>
            <a:ln w="25400">
              <a:solidFill>
                <a:srgbClr val="993366"/>
              </a:solidFill>
              <a:prstDash val="solid"/>
            </a:ln>
          </c:spPr>
          <c:dLbls>
            <c:dLbl>
              <c:idx val="0"/>
              <c:layout>
                <c:manualLayout>
                  <c:x val="5.1656528787165201E-2"/>
                  <c:y val="8.5398939954169366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5B0-4C9C-A291-D6A01C615F22}"/>
                </c:ext>
              </c:extLst>
            </c:dLbl>
            <c:dLbl>
              <c:idx val="1"/>
              <c:layout>
                <c:manualLayout>
                  <c:x val="-5.2567172288188026E-3"/>
                  <c:y val="0.1403224619490648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5B0-4C9C-A291-D6A01C615F22}"/>
                </c:ext>
              </c:extLst>
            </c:dLbl>
            <c:dLbl>
              <c:idx val="2"/>
              <c:layout>
                <c:manualLayout>
                  <c:x val="-6.8311480322426191E-2"/>
                  <c:y val="6.72545271086849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B0-4C9C-A291-D6A01C615F22}"/>
                </c:ext>
              </c:extLst>
            </c:dLbl>
            <c:dLbl>
              <c:idx val="3"/>
              <c:layout>
                <c:manualLayout>
                  <c:x val="-7.0018936886842131E-2"/>
                  <c:y val="-4.74809602229334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5B0-4C9C-A291-D6A01C615F22}"/>
                </c:ext>
              </c:extLst>
            </c:dLbl>
            <c:dLbl>
              <c:idx val="4"/>
              <c:layout>
                <c:manualLayout>
                  <c:x val="8.0032858921475339E-2"/>
                  <c:y val="-4.34478145753847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B0-4C9C-A291-D6A01C615F22}"/>
                </c:ext>
              </c:extLst>
            </c:dLbl>
            <c:dLbl>
              <c:idx val="5"/>
              <c:layout>
                <c:manualLayout>
                  <c:x val="7.5662637240767805E-3"/>
                  <c:y val="-7.29887634152493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5B0-4C9C-A291-D6A01C615F22}"/>
                </c:ext>
              </c:extLst>
            </c:dLbl>
            <c:dLbl>
              <c:idx val="6"/>
              <c:layout>
                <c:manualLayout>
                  <c:x val="3.5961737979693202E-2"/>
                  <c:y val="-6.22954358502198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B0-4C9C-A291-D6A01C615F22}"/>
                </c:ext>
              </c:extLst>
            </c:dLbl>
            <c:spPr>
              <a:noFill/>
              <a:ln w="25400">
                <a:noFill/>
              </a:ln>
            </c:spPr>
            <c:txPr>
              <a:bodyPr/>
              <a:lstStyle/>
              <a:p>
                <a:pPr algn="ctr" rtl="1">
                  <a:defRPr sz="1000" b="1" i="0" u="none" strike="noStrike" baseline="0">
                    <a:solidFill>
                      <a:srgbClr val="800000"/>
                    </a:solidFill>
                    <a:latin typeface="Arial Narrow"/>
                    <a:ea typeface="Arial Narrow"/>
                    <a:cs typeface="Arial Narrow"/>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Globaux'!$B$26:$F$26,'Résultats Globaux'!$B$31:$F$31,'Résultats Globaux'!$B$35:$F$35,'Résultats Globaux'!$B$39:$F$39,'Résultats Globaux'!$B$45:$F$45,'Résultats Globaux'!$B$53:$F$53,'Résultats Globaux'!$B$57:$F$57)</c:f>
              <c:multiLvlStrCache>
                <c:ptCount val="7"/>
                <c:lvl>
                  <c:pt idx="0">
                    <c:v>Contexte de l'organisme</c:v>
                  </c:pt>
                  <c:pt idx="1">
                    <c:v>Leadership</c:v>
                  </c:pt>
                  <c:pt idx="2">
                    <c:v>Planification</c:v>
                  </c:pt>
                  <c:pt idx="3">
                    <c:v>Support</c:v>
                  </c:pt>
                  <c:pt idx="4">
                    <c:v>Réalisation des activités opérationnelles</c:v>
                  </c:pt>
                  <c:pt idx="5">
                    <c:v>Évaluation des performances</c:v>
                  </c:pt>
                  <c:pt idx="6">
                    <c:v>Amélioration</c:v>
                  </c:pt>
                </c:lvl>
                <c:lvl>
                  <c:pt idx="0">
                    <c:v>4</c:v>
                  </c:pt>
                  <c:pt idx="1">
                    <c:v>5</c:v>
                  </c:pt>
                  <c:pt idx="2">
                    <c:v>6</c:v>
                  </c:pt>
                  <c:pt idx="3">
                    <c:v>7</c:v>
                  </c:pt>
                  <c:pt idx="4">
                    <c:v>8</c:v>
                  </c:pt>
                  <c:pt idx="5">
                    <c:v>9</c:v>
                  </c:pt>
                  <c:pt idx="6">
                    <c:v>10</c:v>
                  </c:pt>
                </c:lvl>
              </c:multiLvlStrCache>
            </c:multiLvlStrRef>
          </c:cat>
          <c:val>
            <c:numRef>
              <c:f>('Résultats Globaux'!$H$26,'Résultats Globaux'!$H$31,'Résultats Globaux'!$H$35,'Résultats Globaux'!$H$39,'Résultats Globaux'!$H$45,'Résultats Globaux'!$H$53,'Résultats Globaux'!$H$57)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95B0-4C9C-A291-D6A01C615F22}"/>
            </c:ext>
          </c:extLst>
        </c:ser>
        <c:dLbls>
          <c:showLegendKey val="0"/>
          <c:showVal val="0"/>
          <c:showCatName val="0"/>
          <c:showSerName val="0"/>
          <c:showPercent val="0"/>
          <c:showBubbleSize val="0"/>
        </c:dLbls>
        <c:axId val="278352392"/>
        <c:axId val="278352784"/>
      </c:radarChart>
      <c:catAx>
        <c:axId val="278352392"/>
        <c:scaling>
          <c:orientation val="minMax"/>
        </c:scaling>
        <c:delete val="0"/>
        <c:axPos val="b"/>
        <c:majorGridlines>
          <c:spPr>
            <a:ln w="3175">
              <a:solidFill>
                <a:srgbClr val="969696"/>
              </a:solidFill>
              <a:prstDash val="sysDash"/>
            </a:ln>
          </c:spPr>
        </c:majorGridlines>
        <c:numFmt formatCode="@" sourceLinked="0"/>
        <c:majorTickMark val="out"/>
        <c:minorTickMark val="none"/>
        <c:tickLblPos val="nextTo"/>
        <c:txPr>
          <a:bodyPr rot="0" vert="horz" anchor="t" anchorCtr="0"/>
          <a:lstStyle/>
          <a:p>
            <a:pPr>
              <a:defRPr sz="900" b="0" i="0" u="none" strike="noStrike" baseline="0">
                <a:solidFill>
                  <a:srgbClr val="000000"/>
                </a:solidFill>
                <a:latin typeface="Arial"/>
                <a:ea typeface="Arial Narrow"/>
                <a:cs typeface="Arial Narrow"/>
              </a:defRPr>
            </a:pPr>
            <a:endParaRPr lang="fr-FR"/>
          </a:p>
        </c:txPr>
        <c:crossAx val="278352784"/>
        <c:crosses val="autoZero"/>
        <c:auto val="0"/>
        <c:lblAlgn val="ctr"/>
        <c:lblOffset val="100"/>
        <c:noMultiLvlLbl val="0"/>
      </c:catAx>
      <c:valAx>
        <c:axId val="278352784"/>
        <c:scaling>
          <c:orientation val="minMax"/>
          <c:max val="1"/>
          <c:min val="0"/>
        </c:scaling>
        <c:delete val="0"/>
        <c:axPos val="l"/>
        <c:majorGridlines>
          <c:spPr>
            <a:ln w="3175">
              <a:solidFill>
                <a:srgbClr val="969696"/>
              </a:solidFill>
              <a:prstDash val="sysDash"/>
            </a:ln>
          </c:spPr>
        </c:majorGridlines>
        <c:numFmt formatCode="0%" sourceLinked="1"/>
        <c:majorTickMark val="none"/>
        <c:minorTickMark val="none"/>
        <c:tickLblPos val="nextTo"/>
        <c:spPr>
          <a:ln w="3175">
            <a:solidFill>
              <a:srgbClr val="969696"/>
            </a:solidFill>
            <a:prstDash val="sysDash"/>
          </a:ln>
        </c:spPr>
        <c:txPr>
          <a:bodyPr rot="0" vert="horz"/>
          <a:lstStyle/>
          <a:p>
            <a:pPr>
              <a:defRPr sz="600" b="0" i="0" u="none" strike="noStrike" baseline="0">
                <a:solidFill>
                  <a:srgbClr val="808080"/>
                </a:solidFill>
                <a:latin typeface="Calibri"/>
                <a:ea typeface="Calibri"/>
                <a:cs typeface="Calibri"/>
              </a:defRPr>
            </a:pPr>
            <a:endParaRPr lang="fr-FR"/>
          </a:p>
        </c:txPr>
        <c:crossAx val="278352392"/>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344" r="0.75000000000000344" t="0.98425196899999956"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7338518001916"/>
          <c:y val="0.19996078223707978"/>
          <c:w val="0.81944666733579563"/>
          <c:h val="0.63095604861914556"/>
        </c:manualLayout>
      </c:layout>
      <c:barChart>
        <c:barDir val="col"/>
        <c:grouping val="clustered"/>
        <c:varyColors val="0"/>
        <c:ser>
          <c:idx val="0"/>
          <c:order val="0"/>
          <c:tx>
            <c:v>Véracité</c:v>
          </c:tx>
          <c:spPr>
            <a:solidFill>
              <a:srgbClr val="4F81BD">
                <a:alpha val="32941"/>
              </a:srgbClr>
            </a:solidFill>
            <a:ln w="3175">
              <a:solidFill>
                <a:srgbClr val="0000FF"/>
              </a:solidFill>
              <a:prstDash val="solid"/>
            </a:ln>
          </c:spPr>
          <c:invertIfNegative val="0"/>
          <c:dLbls>
            <c:spPr>
              <a:noFill/>
              <a:ln>
                <a:noFill/>
              </a:ln>
              <a:effectLst/>
            </c:spPr>
            <c:txPr>
              <a:bodyPr wrap="square" lIns="38100" tIns="19050" rIns="38100" bIns="19050" anchor="ctr">
                <a:spAutoFit/>
              </a:bodyPr>
              <a:lstStyle/>
              <a:p>
                <a:pPr>
                  <a:defRPr sz="1100">
                    <a:solidFill>
                      <a:srgbClr val="00206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'Résultats Globaux'!$Q$13:$Q$16</c:f>
              <c:strCache>
                <c:ptCount val="4"/>
                <c:pt idx="0">
                  <c:v>Non - Conforme</c:v>
                </c:pt>
                <c:pt idx="1">
                  <c:v>Conforme Partiellement </c:v>
                </c:pt>
                <c:pt idx="2">
                  <c:v>Conforme</c:v>
                </c:pt>
                <c:pt idx="3">
                  <c:v>Optimisé</c:v>
                </c:pt>
              </c:strCache>
            </c:strRef>
          </c:cat>
          <c:val>
            <c:numRef>
              <c:f>'Résultats Globaux'!$S$13:$S$16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278353568"/>
        <c:axId val="278353960"/>
      </c:barChart>
      <c:catAx>
        <c:axId val="2783535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FF"/>
                </a:solidFill>
                <a:latin typeface="Arial Narrow"/>
                <a:ea typeface="Arial Narrow"/>
                <a:cs typeface="Arial Narrow"/>
              </a:defRPr>
            </a:pPr>
            <a:endParaRPr lang="fr-FR"/>
          </a:p>
        </c:txPr>
        <c:crossAx val="278353960"/>
        <c:crosses val="autoZero"/>
        <c:auto val="0"/>
        <c:lblAlgn val="ctr"/>
        <c:lblOffset val="100"/>
        <c:tickMarkSkip val="1"/>
        <c:noMultiLvlLbl val="0"/>
      </c:catAx>
      <c:valAx>
        <c:axId val="278353960"/>
        <c:scaling>
          <c:orientation val="minMax"/>
          <c:min val="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08080"/>
                </a:solidFill>
                <a:latin typeface="Arial Narrow"/>
                <a:ea typeface="Arial Narrow"/>
                <a:cs typeface="Arial Narrow"/>
              </a:defRPr>
            </a:pPr>
            <a:endParaRPr lang="fr-FR"/>
          </a:p>
        </c:txPr>
        <c:crossAx val="278353568"/>
        <c:crosses val="autoZero"/>
        <c:crossBetween val="between"/>
        <c:minorUnit val="1"/>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244" r="0.75000000000000244" t="0.98425196899999956"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89887592212768"/>
          <c:y val="0.28640810642647602"/>
          <c:w val="0.47699569262603292"/>
          <c:h val="0.53715877159572178"/>
        </c:manualLayout>
      </c:layout>
      <c:radarChart>
        <c:radarStyle val="filled"/>
        <c:varyColors val="0"/>
        <c:ser>
          <c:idx val="0"/>
          <c:order val="0"/>
          <c:tx>
            <c:v>Article 4</c:v>
          </c:tx>
          <c:spPr>
            <a:solidFill>
              <a:srgbClr val="7030A0">
                <a:alpha val="52940"/>
              </a:srgbClr>
            </a:solidFill>
            <a:ln w="25400">
              <a:solidFill>
                <a:srgbClr val="993366"/>
              </a:solidFill>
              <a:prstDash val="solid"/>
            </a:ln>
          </c:spPr>
          <c:dLbls>
            <c:dLbl>
              <c:idx val="0"/>
              <c:layout>
                <c:manualLayout>
                  <c:x val="8.4695883905651886E-2"/>
                  <c:y val="4.26381256453474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82C-489D-AD45-1428D8655532}"/>
                </c:ext>
              </c:extLst>
            </c:dLbl>
            <c:dLbl>
              <c:idx val="1"/>
              <c:layout>
                <c:manualLayout>
                  <c:x val="-3.1162340856051678E-2"/>
                  <c:y val="5.49263290057179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82C-489D-AD45-1428D8655532}"/>
                </c:ext>
              </c:extLst>
            </c:dLbl>
            <c:dLbl>
              <c:idx val="2"/>
              <c:layout>
                <c:manualLayout>
                  <c:x val="-8.8878326054880469E-2"/>
                  <c:y val="-5.8547521090354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2C-489D-AD45-1428D8655532}"/>
                </c:ext>
              </c:extLst>
            </c:dLbl>
            <c:dLbl>
              <c:idx val="3"/>
              <c:layout>
                <c:manualLayout>
                  <c:x val="3.7452508508032709E-2"/>
                  <c:y val="-8.72811031083720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2C-489D-AD45-1428D8655532}"/>
                </c:ext>
              </c:extLst>
            </c:dLbl>
            <c:spPr>
              <a:noFill/>
              <a:ln w="25400">
                <a:noFill/>
              </a:ln>
            </c:spPr>
            <c:txPr>
              <a:bodyPr/>
              <a:lstStyle/>
              <a:p>
                <a:pPr algn="ctr" rtl="1">
                  <a:defRPr sz="1000" b="1" i="0" u="none" strike="noStrike" baseline="0">
                    <a:solidFill>
                      <a:srgbClr val="DD0806"/>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Globaux'!$C$27:$D$30</c:f>
              <c:multiLvlStrCache>
                <c:ptCount val="4"/>
                <c:lvl>
                  <c:pt idx="0">
                    <c:v>Compréhension de l’organisme et de son contexte</c:v>
                  </c:pt>
                  <c:pt idx="1">
                    <c:v>Compréhension des besoins et des attentes des parties intéressées</c:v>
                  </c:pt>
                  <c:pt idx="2">
                    <c:v>Détermination du domaine d’application du système de management de la qualité</c:v>
                  </c:pt>
                  <c:pt idx="3">
                    <c:v>Système de management de la qualité et ses processus</c:v>
                  </c:pt>
                </c:lvl>
                <c:lvl>
                  <c:pt idx="0">
                    <c:v>4.1</c:v>
                  </c:pt>
                  <c:pt idx="1">
                    <c:v>4.2</c:v>
                  </c:pt>
                  <c:pt idx="2">
                    <c:v>4.3</c:v>
                  </c:pt>
                  <c:pt idx="3">
                    <c:v>4.4</c:v>
                  </c:pt>
                </c:lvl>
              </c:multiLvlStrCache>
            </c:multiLvlStrRef>
          </c:cat>
          <c:val>
            <c:numRef>
              <c:f>'Résultats Globaux'!$H$27:$H$30</c:f>
              <c:numCache>
                <c:formatCode>0%</c:formatCode>
                <c:ptCount val="4"/>
                <c:pt idx="0">
                  <c:v>0</c:v>
                </c:pt>
                <c:pt idx="1">
                  <c:v>0</c:v>
                </c:pt>
                <c:pt idx="2">
                  <c:v>0</c:v>
                </c:pt>
                <c:pt idx="3">
                  <c:v>0</c:v>
                </c:pt>
              </c:numCache>
            </c:numRef>
          </c:val>
          <c:extLst>
            <c:ext xmlns:c16="http://schemas.microsoft.com/office/drawing/2014/chart" uri="{C3380CC4-5D6E-409C-BE32-E72D297353CC}">
              <c16:uniqueId val="{00000004-282C-489D-AD45-1428D8655532}"/>
            </c:ext>
          </c:extLst>
        </c:ser>
        <c:dLbls>
          <c:showLegendKey val="0"/>
          <c:showVal val="0"/>
          <c:showCatName val="0"/>
          <c:showSerName val="0"/>
          <c:showPercent val="0"/>
          <c:showBubbleSize val="0"/>
        </c:dLbls>
        <c:axId val="280482040"/>
        <c:axId val="280482432"/>
      </c:radarChart>
      <c:catAx>
        <c:axId val="280482040"/>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280482432"/>
        <c:crosses val="autoZero"/>
        <c:auto val="0"/>
        <c:lblAlgn val="ctr"/>
        <c:lblOffset val="100"/>
        <c:noMultiLvlLbl val="0"/>
      </c:catAx>
      <c:valAx>
        <c:axId val="280482432"/>
        <c:scaling>
          <c:orientation val="minMax"/>
          <c:max val="1"/>
          <c:min val="0"/>
        </c:scaling>
        <c:delete val="0"/>
        <c:axPos val="l"/>
        <c:majorGridlines>
          <c:spPr>
            <a:ln w="3175">
              <a:solidFill>
                <a:srgbClr val="808080"/>
              </a:solidFill>
              <a:prstDash val="sysDash"/>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280482040"/>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344" r="0.75000000000000344" t="0.98425196899999956"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44769798425943"/>
          <c:y val="0.27922957435622148"/>
          <c:w val="0.50485054619481251"/>
          <c:h val="0.51149372634199741"/>
        </c:manualLayout>
      </c:layout>
      <c:radarChart>
        <c:radarStyle val="filled"/>
        <c:varyColors val="0"/>
        <c:ser>
          <c:idx val="1"/>
          <c:order val="0"/>
          <c:tx>
            <c:v>Article 5</c:v>
          </c:tx>
          <c:spPr>
            <a:solidFill>
              <a:srgbClr val="7030A0">
                <a:alpha val="52940"/>
              </a:srgbClr>
            </a:solidFill>
            <a:ln w="25400">
              <a:solidFill>
                <a:srgbClr val="993366"/>
              </a:solidFill>
              <a:prstDash val="solid"/>
            </a:ln>
          </c:spPr>
          <c:cat>
            <c:multiLvlStrRef>
              <c:f>'Résultats Globaux'!$C$32:$D$34</c:f>
              <c:multiLvlStrCache>
                <c:ptCount val="3"/>
                <c:lvl>
                  <c:pt idx="0">
                    <c:v>Leadership et Engagement</c:v>
                  </c:pt>
                  <c:pt idx="1">
                    <c:v>Politique</c:v>
                  </c:pt>
                  <c:pt idx="2">
                    <c:v>Rôles, responsabilités et autorités au sein de l'organisme</c:v>
                  </c:pt>
                </c:lvl>
                <c:lvl>
                  <c:pt idx="0">
                    <c:v>5.1</c:v>
                  </c:pt>
                  <c:pt idx="1">
                    <c:v>5.2</c:v>
                  </c:pt>
                  <c:pt idx="2">
                    <c:v>5.3</c:v>
                  </c:pt>
                </c:lvl>
              </c:multiLvlStrCache>
            </c:multiLvlStrRef>
          </c:cat>
          <c:val>
            <c:numRef>
              <c:f>'Résultats Globaux'!$H$32:$H$34</c:f>
              <c:numCache>
                <c:formatCode>0%</c:formatCode>
                <c:ptCount val="3"/>
                <c:pt idx="0">
                  <c:v>0</c:v>
                </c:pt>
                <c:pt idx="1">
                  <c:v>0</c:v>
                </c:pt>
                <c:pt idx="2">
                  <c:v>0</c:v>
                </c:pt>
              </c:numCache>
            </c:numRef>
          </c:val>
          <c:extLst>
            <c:ext xmlns:c16="http://schemas.microsoft.com/office/drawing/2014/chart" uri="{C3380CC4-5D6E-409C-BE32-E72D297353CC}">
              <c16:uniqueId val="{00000000-DF97-4EA2-95E1-D884C8A4E492}"/>
            </c:ext>
          </c:extLst>
        </c:ser>
        <c:ser>
          <c:idx val="0"/>
          <c:order val="1"/>
          <c:tx>
            <c:v>Article 5</c:v>
          </c:tx>
          <c:spPr>
            <a:solidFill>
              <a:srgbClr val="7030A0">
                <a:alpha val="52940"/>
              </a:srgbClr>
            </a:solidFill>
            <a:ln w="25400">
              <a:solidFill>
                <a:srgbClr val="993366"/>
              </a:solidFill>
              <a:prstDash val="solid"/>
            </a:ln>
          </c:spPr>
          <c:dLbls>
            <c:dLbl>
              <c:idx val="0"/>
              <c:layout>
                <c:manualLayout>
                  <c:x val="7.1428656645192004E-2"/>
                  <c:y val="8.4905075641055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FB-471E-9246-B3B1D5A4DBD4}"/>
                </c:ext>
              </c:extLst>
            </c:dLbl>
            <c:dLbl>
              <c:idx val="1"/>
              <c:layout>
                <c:manualLayout>
                  <c:x val="-8.3333333333333204E-2"/>
                  <c:y val="1.4575882096370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FB-471E-9246-B3B1D5A4DBD4}"/>
                </c:ext>
              </c:extLst>
            </c:dLbl>
            <c:dLbl>
              <c:idx val="2"/>
              <c:layout>
                <c:manualLayout>
                  <c:x val="3.0302831464248805E-2"/>
                  <c:y val="-8.1632653061224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FB-471E-9246-B3B1D5A4DBD4}"/>
                </c:ext>
              </c:extLst>
            </c:dLbl>
            <c:spPr>
              <a:noFill/>
              <a:ln w="25400">
                <a:noFill/>
              </a:ln>
            </c:spPr>
            <c:txPr>
              <a:bodyPr/>
              <a:lstStyle/>
              <a:p>
                <a:pPr algn="ctr" rtl="1">
                  <a:defRPr sz="1000" b="1" i="0" u="none" strike="noStrike" baseline="0">
                    <a:solidFill>
                      <a:srgbClr val="DD0806"/>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Globaux'!$C$32:$D$34</c:f>
              <c:multiLvlStrCache>
                <c:ptCount val="3"/>
                <c:lvl>
                  <c:pt idx="0">
                    <c:v>Leadership et Engagement</c:v>
                  </c:pt>
                  <c:pt idx="1">
                    <c:v>Politique</c:v>
                  </c:pt>
                  <c:pt idx="2">
                    <c:v>Rôles, responsabilités et autorités au sein de l'organisme</c:v>
                  </c:pt>
                </c:lvl>
                <c:lvl>
                  <c:pt idx="0">
                    <c:v>5.1</c:v>
                  </c:pt>
                  <c:pt idx="1">
                    <c:v>5.2</c:v>
                  </c:pt>
                  <c:pt idx="2">
                    <c:v>5.3</c:v>
                  </c:pt>
                </c:lvl>
              </c:multiLvlStrCache>
            </c:multiLvlStrRef>
          </c:cat>
          <c:val>
            <c:numRef>
              <c:f>'Résultats Globaux'!$H$32:$H$34</c:f>
              <c:numCache>
                <c:formatCode>0%</c:formatCode>
                <c:ptCount val="3"/>
                <c:pt idx="0">
                  <c:v>0</c:v>
                </c:pt>
                <c:pt idx="1">
                  <c:v>0</c:v>
                </c:pt>
                <c:pt idx="2">
                  <c:v>0</c:v>
                </c:pt>
              </c:numCache>
            </c:numRef>
          </c:val>
          <c:extLst>
            <c:ext xmlns:c16="http://schemas.microsoft.com/office/drawing/2014/chart" uri="{C3380CC4-5D6E-409C-BE32-E72D297353CC}">
              <c16:uniqueId val="{00000003-AEFB-471E-9246-B3B1D5A4DBD4}"/>
            </c:ext>
          </c:extLst>
        </c:ser>
        <c:dLbls>
          <c:showLegendKey val="0"/>
          <c:showVal val="0"/>
          <c:showCatName val="0"/>
          <c:showSerName val="0"/>
          <c:showPercent val="0"/>
          <c:showBubbleSize val="0"/>
        </c:dLbls>
        <c:axId val="280483608"/>
        <c:axId val="280484000"/>
      </c:radarChart>
      <c:catAx>
        <c:axId val="280483608"/>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280484000"/>
        <c:crosses val="autoZero"/>
        <c:auto val="0"/>
        <c:lblAlgn val="ctr"/>
        <c:lblOffset val="100"/>
        <c:noMultiLvlLbl val="0"/>
      </c:catAx>
      <c:valAx>
        <c:axId val="280484000"/>
        <c:scaling>
          <c:orientation val="minMax"/>
          <c:max val="1"/>
          <c:min val="0"/>
        </c:scaling>
        <c:delete val="0"/>
        <c:axPos val="l"/>
        <c:majorGridlines>
          <c:spPr>
            <a:ln w="3175">
              <a:solidFill>
                <a:srgbClr val="808080"/>
              </a:solidFill>
              <a:prstDash val="sysDash"/>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280483608"/>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pageMargins b="0.98425196899999956" l="0.75000000000000344" r="0.75000000000000344" t="0.98425196899999956"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87235763491284"/>
          <c:y val="0.27930541467916203"/>
          <c:w val="0.51173978043150303"/>
          <c:h val="0.52761322533319832"/>
        </c:manualLayout>
      </c:layout>
      <c:radarChart>
        <c:radarStyle val="filled"/>
        <c:varyColors val="0"/>
        <c:ser>
          <c:idx val="1"/>
          <c:order val="0"/>
          <c:tx>
            <c:v>Article 5</c:v>
          </c:tx>
          <c:spPr>
            <a:solidFill>
              <a:srgbClr val="7030A0">
                <a:alpha val="52940"/>
              </a:srgbClr>
            </a:solidFill>
            <a:ln w="25400">
              <a:solidFill>
                <a:srgbClr val="993366"/>
              </a:solidFill>
              <a:prstDash val="solid"/>
            </a:ln>
          </c:spPr>
          <c:cat>
            <c:multiLvlStrRef>
              <c:f>'Résultats Globaux'!$C$36:$D$60</c:f>
              <c:multiLvlStrCache>
                <c:ptCount val="25"/>
                <c:lvl>
                  <c:pt idx="0">
                    <c:v>Actions à mettre en œuvre face aux risques et opportunités</c:v>
                  </c:pt>
                  <c:pt idx="1">
                    <c:v>Objectifs qualité et planification des actions pour les atteindre</c:v>
                  </c:pt>
                  <c:pt idx="2">
                    <c:v>Planification des modifications</c:v>
                  </c:pt>
                  <c:pt idx="4">
                    <c:v>Ressources</c:v>
                  </c:pt>
                  <c:pt idx="5">
                    <c:v>Compétences</c:v>
                  </c:pt>
                  <c:pt idx="6">
                    <c:v>Sensibilisation</c:v>
                  </c:pt>
                  <c:pt idx="7">
                    <c:v>Communication</c:v>
                  </c:pt>
                  <c:pt idx="8">
                    <c:v>Informations documentées</c:v>
                  </c:pt>
                  <c:pt idx="10">
                    <c:v>Planification et maîtrise opérationnelles</c:v>
                  </c:pt>
                  <c:pt idx="11">
                    <c:v>Exigences relatives aux produits et services</c:v>
                  </c:pt>
                  <c:pt idx="12">
                    <c:v>Conception et développement de produits et services</c:v>
                  </c:pt>
                  <c:pt idx="13">
                    <c:v>Maîtrise des processus, produits et services fournis par des prestataires externes</c:v>
                  </c:pt>
                  <c:pt idx="14">
                    <c:v>Production et prestation de service</c:v>
                  </c:pt>
                  <c:pt idx="15">
                    <c:v>Libération des produits et services</c:v>
                  </c:pt>
                  <c:pt idx="16">
                    <c:v>Maîtrise des éléments de sortie non conformes</c:v>
                  </c:pt>
                  <c:pt idx="18">
                    <c:v>Surveillance, mesure, analyse et évaluation</c:v>
                  </c:pt>
                  <c:pt idx="19">
                    <c:v>Audit interne</c:v>
                  </c:pt>
                  <c:pt idx="20">
                    <c:v>Revue de direction</c:v>
                  </c:pt>
                  <c:pt idx="22">
                    <c:v>Généralités</c:v>
                  </c:pt>
                  <c:pt idx="23">
                    <c:v>Non-conformité et action corrective</c:v>
                  </c:pt>
                  <c:pt idx="24">
                    <c:v>Amélioration continue</c:v>
                  </c:pt>
                </c:lvl>
                <c:lvl>
                  <c:pt idx="0">
                    <c:v>6.1</c:v>
                  </c:pt>
                  <c:pt idx="1">
                    <c:v>6.2</c:v>
                  </c:pt>
                  <c:pt idx="2">
                    <c:v>6.3</c:v>
                  </c:pt>
                  <c:pt idx="3">
                    <c:v>Support</c:v>
                  </c:pt>
                  <c:pt idx="4">
                    <c:v>7.1</c:v>
                  </c:pt>
                  <c:pt idx="5">
                    <c:v>7.2</c:v>
                  </c:pt>
                  <c:pt idx="6">
                    <c:v>7.3</c:v>
                  </c:pt>
                  <c:pt idx="7">
                    <c:v>7.4</c:v>
                  </c:pt>
                  <c:pt idx="8">
                    <c:v>7.5</c:v>
                  </c:pt>
                  <c:pt idx="9">
                    <c:v>Réalisation des activités opérationnelles</c:v>
                  </c:pt>
                  <c:pt idx="10">
                    <c:v>8.1</c:v>
                  </c:pt>
                  <c:pt idx="11">
                    <c:v>8.2</c:v>
                  </c:pt>
                  <c:pt idx="12">
                    <c:v>8.3</c:v>
                  </c:pt>
                  <c:pt idx="13">
                    <c:v>8.4</c:v>
                  </c:pt>
                  <c:pt idx="14">
                    <c:v>8.5</c:v>
                  </c:pt>
                  <c:pt idx="15">
                    <c:v>8.6</c:v>
                  </c:pt>
                  <c:pt idx="16">
                    <c:v>8.7</c:v>
                  </c:pt>
                  <c:pt idx="17">
                    <c:v>Évaluation des performances</c:v>
                  </c:pt>
                  <c:pt idx="18">
                    <c:v>9.1</c:v>
                  </c:pt>
                  <c:pt idx="19">
                    <c:v>9.2</c:v>
                  </c:pt>
                  <c:pt idx="20">
                    <c:v>9.3</c:v>
                  </c:pt>
                  <c:pt idx="21">
                    <c:v>Amélioration</c:v>
                  </c:pt>
                  <c:pt idx="22">
                    <c:v>10.1</c:v>
                  </c:pt>
                  <c:pt idx="23">
                    <c:v>10.2</c:v>
                  </c:pt>
                  <c:pt idx="24">
                    <c:v>10.3</c:v>
                  </c:pt>
                </c:lvl>
              </c:multiLvlStrCache>
            </c:multiLvlStrRef>
          </c:cat>
          <c:val>
            <c:numRef>
              <c:f>'Résultats Globaux'!$H$36:$H$38</c:f>
              <c:numCache>
                <c:formatCode>0%</c:formatCode>
                <c:ptCount val="3"/>
                <c:pt idx="0">
                  <c:v>0</c:v>
                </c:pt>
                <c:pt idx="1">
                  <c:v>0</c:v>
                </c:pt>
                <c:pt idx="2">
                  <c:v>0</c:v>
                </c:pt>
              </c:numCache>
            </c:numRef>
          </c:val>
          <c:extLst>
            <c:ext xmlns:c16="http://schemas.microsoft.com/office/drawing/2014/chart" uri="{C3380CC4-5D6E-409C-BE32-E72D297353CC}">
              <c16:uniqueId val="{00000005-D83A-4528-98CB-1AB50986B05E}"/>
            </c:ext>
          </c:extLst>
        </c:ser>
        <c:ser>
          <c:idx val="0"/>
          <c:order val="1"/>
          <c:tx>
            <c:v>Article 5</c:v>
          </c:tx>
          <c:spPr>
            <a:solidFill>
              <a:srgbClr val="7030A0">
                <a:alpha val="52940"/>
              </a:srgbClr>
            </a:solidFill>
            <a:ln w="25400">
              <a:solidFill>
                <a:srgbClr val="993366"/>
              </a:solidFill>
              <a:prstDash val="solid"/>
            </a:ln>
          </c:spPr>
          <c:dLbls>
            <c:dLbl>
              <c:idx val="0"/>
              <c:layout>
                <c:manualLayout>
                  <c:x val="7.1428656645192004E-2"/>
                  <c:y val="8.4905075641055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3A-4528-98CB-1AB50986B05E}"/>
                </c:ext>
              </c:extLst>
            </c:dLbl>
            <c:dLbl>
              <c:idx val="1"/>
              <c:layout>
                <c:manualLayout>
                  <c:x val="-8.3333333333333204E-2"/>
                  <c:y val="1.4575882096370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3A-4528-98CB-1AB50986B05E}"/>
                </c:ext>
              </c:extLst>
            </c:dLbl>
            <c:dLbl>
              <c:idx val="2"/>
              <c:layout>
                <c:manualLayout>
                  <c:x val="3.0302831464248805E-2"/>
                  <c:y val="-8.1632653061224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3A-4528-98CB-1AB50986B05E}"/>
                </c:ext>
              </c:extLst>
            </c:dLbl>
            <c:spPr>
              <a:noFill/>
              <a:ln w="25400">
                <a:noFill/>
              </a:ln>
            </c:spPr>
            <c:txPr>
              <a:bodyPr/>
              <a:lstStyle/>
              <a:p>
                <a:pPr algn="ctr" rtl="1">
                  <a:defRPr sz="1000" b="1" i="0" u="none" strike="noStrike" baseline="0">
                    <a:solidFill>
                      <a:srgbClr val="DD0806"/>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Globaux'!$C$36:$D$60</c:f>
              <c:multiLvlStrCache>
                <c:ptCount val="25"/>
                <c:lvl>
                  <c:pt idx="0">
                    <c:v>Actions à mettre en œuvre face aux risques et opportunités</c:v>
                  </c:pt>
                  <c:pt idx="1">
                    <c:v>Objectifs qualité et planification des actions pour les atteindre</c:v>
                  </c:pt>
                  <c:pt idx="2">
                    <c:v>Planification des modifications</c:v>
                  </c:pt>
                  <c:pt idx="4">
                    <c:v>Ressources</c:v>
                  </c:pt>
                  <c:pt idx="5">
                    <c:v>Compétences</c:v>
                  </c:pt>
                  <c:pt idx="6">
                    <c:v>Sensibilisation</c:v>
                  </c:pt>
                  <c:pt idx="7">
                    <c:v>Communication</c:v>
                  </c:pt>
                  <c:pt idx="8">
                    <c:v>Informations documentées</c:v>
                  </c:pt>
                  <c:pt idx="10">
                    <c:v>Planification et maîtrise opérationnelles</c:v>
                  </c:pt>
                  <c:pt idx="11">
                    <c:v>Exigences relatives aux produits et services</c:v>
                  </c:pt>
                  <c:pt idx="12">
                    <c:v>Conception et développement de produits et services</c:v>
                  </c:pt>
                  <c:pt idx="13">
                    <c:v>Maîtrise des processus, produits et services fournis par des prestataires externes</c:v>
                  </c:pt>
                  <c:pt idx="14">
                    <c:v>Production et prestation de service</c:v>
                  </c:pt>
                  <c:pt idx="15">
                    <c:v>Libération des produits et services</c:v>
                  </c:pt>
                  <c:pt idx="16">
                    <c:v>Maîtrise des éléments de sortie non conformes</c:v>
                  </c:pt>
                  <c:pt idx="18">
                    <c:v>Surveillance, mesure, analyse et évaluation</c:v>
                  </c:pt>
                  <c:pt idx="19">
                    <c:v>Audit interne</c:v>
                  </c:pt>
                  <c:pt idx="20">
                    <c:v>Revue de direction</c:v>
                  </c:pt>
                  <c:pt idx="22">
                    <c:v>Généralités</c:v>
                  </c:pt>
                  <c:pt idx="23">
                    <c:v>Non-conformité et action corrective</c:v>
                  </c:pt>
                  <c:pt idx="24">
                    <c:v>Amélioration continue</c:v>
                  </c:pt>
                </c:lvl>
                <c:lvl>
                  <c:pt idx="0">
                    <c:v>6.1</c:v>
                  </c:pt>
                  <c:pt idx="1">
                    <c:v>6.2</c:v>
                  </c:pt>
                  <c:pt idx="2">
                    <c:v>6.3</c:v>
                  </c:pt>
                  <c:pt idx="3">
                    <c:v>Support</c:v>
                  </c:pt>
                  <c:pt idx="4">
                    <c:v>7.1</c:v>
                  </c:pt>
                  <c:pt idx="5">
                    <c:v>7.2</c:v>
                  </c:pt>
                  <c:pt idx="6">
                    <c:v>7.3</c:v>
                  </c:pt>
                  <c:pt idx="7">
                    <c:v>7.4</c:v>
                  </c:pt>
                  <c:pt idx="8">
                    <c:v>7.5</c:v>
                  </c:pt>
                  <c:pt idx="9">
                    <c:v>Réalisation des activités opérationnelles</c:v>
                  </c:pt>
                  <c:pt idx="10">
                    <c:v>8.1</c:v>
                  </c:pt>
                  <c:pt idx="11">
                    <c:v>8.2</c:v>
                  </c:pt>
                  <c:pt idx="12">
                    <c:v>8.3</c:v>
                  </c:pt>
                  <c:pt idx="13">
                    <c:v>8.4</c:v>
                  </c:pt>
                  <c:pt idx="14">
                    <c:v>8.5</c:v>
                  </c:pt>
                  <c:pt idx="15">
                    <c:v>8.6</c:v>
                  </c:pt>
                  <c:pt idx="16">
                    <c:v>8.7</c:v>
                  </c:pt>
                  <c:pt idx="17">
                    <c:v>Évaluation des performances</c:v>
                  </c:pt>
                  <c:pt idx="18">
                    <c:v>9.1</c:v>
                  </c:pt>
                  <c:pt idx="19">
                    <c:v>9.2</c:v>
                  </c:pt>
                  <c:pt idx="20">
                    <c:v>9.3</c:v>
                  </c:pt>
                  <c:pt idx="21">
                    <c:v>Amélioration</c:v>
                  </c:pt>
                  <c:pt idx="22">
                    <c:v>10.1</c:v>
                  </c:pt>
                  <c:pt idx="23">
                    <c:v>10.2</c:v>
                  </c:pt>
                  <c:pt idx="24">
                    <c:v>10.3</c:v>
                  </c:pt>
                </c:lvl>
              </c:multiLvlStrCache>
            </c:multiLvlStrRef>
          </c:cat>
          <c:val>
            <c:numRef>
              <c:f>'Résultats Globaux'!$H$36:$H$38</c:f>
              <c:numCache>
                <c:formatCode>0%</c:formatCode>
                <c:ptCount val="3"/>
                <c:pt idx="0">
                  <c:v>0</c:v>
                </c:pt>
                <c:pt idx="1">
                  <c:v>0</c:v>
                </c:pt>
                <c:pt idx="2">
                  <c:v>0</c:v>
                </c:pt>
              </c:numCache>
            </c:numRef>
          </c:val>
          <c:extLst>
            <c:ext xmlns:c16="http://schemas.microsoft.com/office/drawing/2014/chart" uri="{C3380CC4-5D6E-409C-BE32-E72D297353CC}">
              <c16:uniqueId val="{00000004-D83A-4528-98CB-1AB50986B05E}"/>
            </c:ext>
          </c:extLst>
        </c:ser>
        <c:dLbls>
          <c:showLegendKey val="0"/>
          <c:showVal val="0"/>
          <c:showCatName val="0"/>
          <c:showSerName val="0"/>
          <c:showPercent val="0"/>
          <c:showBubbleSize val="0"/>
        </c:dLbls>
        <c:axId val="280481648"/>
        <c:axId val="280481256"/>
      </c:radarChart>
      <c:catAx>
        <c:axId val="280481648"/>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280481256"/>
        <c:crosses val="autoZero"/>
        <c:auto val="0"/>
        <c:lblAlgn val="ctr"/>
        <c:lblOffset val="100"/>
        <c:noMultiLvlLbl val="0"/>
      </c:catAx>
      <c:valAx>
        <c:axId val="280481256"/>
        <c:scaling>
          <c:orientation val="minMax"/>
          <c:max val="1"/>
          <c:min val="0"/>
        </c:scaling>
        <c:delete val="0"/>
        <c:axPos val="l"/>
        <c:majorGridlines>
          <c:spPr>
            <a:ln w="3175">
              <a:solidFill>
                <a:srgbClr val="808080"/>
              </a:solidFill>
              <a:prstDash val="sysDash"/>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280481648"/>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pageMargins b="0.98425196899999956" l="0.75000000000000344" r="0.75000000000000344" t="0.98425196899999956"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2264936292419"/>
          <c:y val="0.25165974822892506"/>
          <c:w val="0.55402352909100827"/>
          <c:h val="0.56910984842296497"/>
        </c:manualLayout>
      </c:layout>
      <c:radarChart>
        <c:radarStyle val="filled"/>
        <c:varyColors val="0"/>
        <c:ser>
          <c:idx val="1"/>
          <c:order val="0"/>
          <c:tx>
            <c:v>Article 7</c:v>
          </c:tx>
          <c:spPr>
            <a:solidFill>
              <a:srgbClr val="7030A0">
                <a:alpha val="52940"/>
              </a:srgbClr>
            </a:solidFill>
            <a:ln w="25400">
              <a:solidFill>
                <a:srgbClr val="993366"/>
              </a:solidFill>
              <a:prstDash val="solid"/>
            </a:ln>
          </c:spPr>
          <c:cat>
            <c:multiLvlStrRef>
              <c:f>'Résultats Globaux'!$C$40:$E$44</c:f>
              <c:multiLvlStrCache>
                <c:ptCount val="5"/>
                <c:lvl>
                  <c:pt idx="0">
                    <c:v>Ressources</c:v>
                  </c:pt>
                  <c:pt idx="1">
                    <c:v>Compétences</c:v>
                  </c:pt>
                  <c:pt idx="2">
                    <c:v>Sensibilisation</c:v>
                  </c:pt>
                  <c:pt idx="3">
                    <c:v>Communication</c:v>
                  </c:pt>
                  <c:pt idx="4">
                    <c:v>Informations documentées</c:v>
                  </c:pt>
                </c:lvl>
                <c:lvl>
                  <c:pt idx="0">
                    <c:v>7.1</c:v>
                  </c:pt>
                  <c:pt idx="1">
                    <c:v>7.2</c:v>
                  </c:pt>
                  <c:pt idx="2">
                    <c:v>7.3</c:v>
                  </c:pt>
                  <c:pt idx="3">
                    <c:v>7.4</c:v>
                  </c:pt>
                  <c:pt idx="4">
                    <c:v>7.5</c:v>
                  </c:pt>
                </c:lvl>
              </c:multiLvlStrCache>
            </c:multiLvlStrRef>
          </c:cat>
          <c:val>
            <c:numRef>
              <c:f>'Résultats Globaux'!$H$40:$H$44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575-41CD-8EE9-D95204E4A328}"/>
            </c:ext>
          </c:extLst>
        </c:ser>
        <c:ser>
          <c:idx val="0"/>
          <c:order val="1"/>
          <c:tx>
            <c:v>Article 7</c:v>
          </c:tx>
          <c:spPr>
            <a:solidFill>
              <a:srgbClr val="7030A0">
                <a:alpha val="52940"/>
              </a:srgbClr>
            </a:solidFill>
            <a:ln w="25400">
              <a:solidFill>
                <a:srgbClr val="993366"/>
              </a:solidFill>
              <a:prstDash val="solid"/>
            </a:ln>
          </c:spPr>
          <c:dLbls>
            <c:dLbl>
              <c:idx val="0"/>
              <c:layout>
                <c:manualLayout>
                  <c:x val="6.5657660359525236E-2"/>
                  <c:y val="0.111581572138541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75-41CD-8EE9-D95204E4A328}"/>
                </c:ext>
              </c:extLst>
            </c:dLbl>
            <c:dLbl>
              <c:idx val="1"/>
              <c:layout>
                <c:manualLayout>
                  <c:x val="-0.10064616391297231"/>
                  <c:y val="-6.17244764260438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75-41CD-8EE9-D95204E4A328}"/>
                </c:ext>
              </c:extLst>
            </c:dLbl>
            <c:dLbl>
              <c:idx val="2"/>
              <c:layout>
                <c:manualLayout>
                  <c:x val="5.915762400712507E-2"/>
                  <c:y val="-6.3848319340087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75-41CD-8EE9-D95204E4A328}"/>
                </c:ext>
              </c:extLst>
            </c:dLbl>
            <c:dLbl>
              <c:idx val="3"/>
              <c:layout>
                <c:manualLayout>
                  <c:x val="-1.4427358816365851E-2"/>
                  <c:y val="2.3712356051295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75-41CD-8EE9-D95204E4A328}"/>
                </c:ext>
              </c:extLst>
            </c:dLbl>
            <c:dLbl>
              <c:idx val="4"/>
              <c:layout>
                <c:manualLayout>
                  <c:x val="3.7511132922551156E-2"/>
                  <c:y val="-4.7424712102590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75-41CD-8EE9-D95204E4A328}"/>
                </c:ext>
              </c:extLst>
            </c:dLbl>
            <c:spPr>
              <a:noFill/>
              <a:ln w="25400">
                <a:noFill/>
              </a:ln>
            </c:spPr>
            <c:txPr>
              <a:bodyPr/>
              <a:lstStyle/>
              <a:p>
                <a:pPr algn="ctr" rtl="1">
                  <a:defRPr sz="1000" b="1" i="0" u="none" strike="noStrike" baseline="0">
                    <a:solidFill>
                      <a:srgbClr val="DD0806"/>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Globaux'!$C$40:$E$44</c:f>
              <c:multiLvlStrCache>
                <c:ptCount val="5"/>
                <c:lvl>
                  <c:pt idx="0">
                    <c:v>Ressources</c:v>
                  </c:pt>
                  <c:pt idx="1">
                    <c:v>Compétences</c:v>
                  </c:pt>
                  <c:pt idx="2">
                    <c:v>Sensibilisation</c:v>
                  </c:pt>
                  <c:pt idx="3">
                    <c:v>Communication</c:v>
                  </c:pt>
                  <c:pt idx="4">
                    <c:v>Informations documentées</c:v>
                  </c:pt>
                </c:lvl>
                <c:lvl>
                  <c:pt idx="0">
                    <c:v>7.1</c:v>
                  </c:pt>
                  <c:pt idx="1">
                    <c:v>7.2</c:v>
                  </c:pt>
                  <c:pt idx="2">
                    <c:v>7.3</c:v>
                  </c:pt>
                  <c:pt idx="3">
                    <c:v>7.4</c:v>
                  </c:pt>
                  <c:pt idx="4">
                    <c:v>7.5</c:v>
                  </c:pt>
                </c:lvl>
              </c:multiLvlStrCache>
            </c:multiLvlStrRef>
          </c:cat>
          <c:val>
            <c:numRef>
              <c:f>'Résultats Globaux'!$H$40:$H$44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A575-41CD-8EE9-D95204E4A328}"/>
            </c:ext>
          </c:extLst>
        </c:ser>
        <c:dLbls>
          <c:showLegendKey val="0"/>
          <c:showVal val="0"/>
          <c:showCatName val="0"/>
          <c:showSerName val="0"/>
          <c:showPercent val="0"/>
          <c:showBubbleSize val="0"/>
        </c:dLbls>
        <c:axId val="278354744"/>
        <c:axId val="281174448"/>
      </c:radarChart>
      <c:catAx>
        <c:axId val="278354744"/>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281174448"/>
        <c:crosses val="autoZero"/>
        <c:auto val="0"/>
        <c:lblAlgn val="ctr"/>
        <c:lblOffset val="100"/>
        <c:noMultiLvlLbl val="0"/>
      </c:catAx>
      <c:valAx>
        <c:axId val="281174448"/>
        <c:scaling>
          <c:orientation val="minMax"/>
          <c:max val="1"/>
          <c:min val="0"/>
        </c:scaling>
        <c:delete val="0"/>
        <c:axPos val="l"/>
        <c:majorGridlines>
          <c:spPr>
            <a:ln w="3175">
              <a:solidFill>
                <a:srgbClr val="808080"/>
              </a:solidFill>
              <a:prstDash val="sysDash"/>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278354744"/>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pageMargins b="0.98425196899999956" l="0.75000000000000344" r="0.75000000000000344" t="0.98425196899999956"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89887592212768"/>
          <c:y val="0.28640810642647602"/>
          <c:w val="0.47699569262603292"/>
          <c:h val="0.53715877159572178"/>
        </c:manualLayout>
      </c:layout>
      <c:radarChart>
        <c:radarStyle val="filled"/>
        <c:varyColors val="0"/>
        <c:ser>
          <c:idx val="0"/>
          <c:order val="0"/>
          <c:tx>
            <c:v>Article 4</c:v>
          </c:tx>
          <c:spPr>
            <a:solidFill>
              <a:srgbClr val="7030A0">
                <a:alpha val="52940"/>
              </a:srgbClr>
            </a:solidFill>
            <a:ln w="25400">
              <a:solidFill>
                <a:srgbClr val="993366"/>
              </a:solidFill>
              <a:prstDash val="solid"/>
            </a:ln>
          </c:spPr>
          <c:dLbls>
            <c:dLbl>
              <c:idx val="0"/>
              <c:layout>
                <c:manualLayout>
                  <c:x val="6.7344837647857897E-2"/>
                  <c:y val="6.69912311967380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C3-4C8C-9551-DF9AED35F714}"/>
                </c:ext>
              </c:extLst>
            </c:dLbl>
            <c:dLbl>
              <c:idx val="1"/>
              <c:layout>
                <c:manualLayout>
                  <c:x val="-5.5949691475792922E-2"/>
                  <c:y val="9.14560556708627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C3-4C8C-9551-DF9AED35F714}"/>
                </c:ext>
              </c:extLst>
            </c:dLbl>
            <c:dLbl>
              <c:idx val="2"/>
              <c:layout>
                <c:manualLayout>
                  <c:x val="-4.6739929170688102E-2"/>
                  <c:y val="-9.50771449986565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C3-4C8C-9551-DF9AED35F714}"/>
                </c:ext>
              </c:extLst>
            </c:dLbl>
            <c:dLbl>
              <c:idx val="3"/>
              <c:layout>
                <c:manualLayout>
                  <c:x val="3.0016287423747238E-2"/>
                  <c:y val="-9.94575916436178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C3-4C8C-9551-DF9AED35F714}"/>
                </c:ext>
              </c:extLst>
            </c:dLbl>
            <c:dLbl>
              <c:idx val="4"/>
              <c:layout>
                <c:manualLayout>
                  <c:x val="4.2138463595314611E-2"/>
                  <c:y val="1.217656304043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C3-4C8C-9551-DF9AED35F714}"/>
                </c:ext>
              </c:extLst>
            </c:dLbl>
            <c:dLbl>
              <c:idx val="5"/>
              <c:layout>
                <c:manualLayout>
                  <c:x val="-1.9829865221324523E-2"/>
                  <c:y val="-1.11617205125887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C3-4C8C-9551-DF9AED35F714}"/>
                </c:ext>
              </c:extLst>
            </c:dLbl>
            <c:dLbl>
              <c:idx val="6"/>
              <c:layout>
                <c:manualLayout>
                  <c:x val="-2.9744797831986827E-2"/>
                  <c:y val="-2.130898532076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C3-4C8C-9551-DF9AED35F714}"/>
                </c:ext>
              </c:extLst>
            </c:dLbl>
            <c:spPr>
              <a:noFill/>
              <a:ln w="25400">
                <a:noFill/>
              </a:ln>
            </c:spPr>
            <c:txPr>
              <a:bodyPr/>
              <a:lstStyle/>
              <a:p>
                <a:pPr algn="ctr" rtl="1">
                  <a:defRPr sz="1000" b="1" i="0" u="none" strike="noStrike" baseline="0">
                    <a:solidFill>
                      <a:srgbClr val="DD0806"/>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Globaux'!$C$46:$E$52</c:f>
              <c:multiLvlStrCache>
                <c:ptCount val="7"/>
                <c:lvl>
                  <c:pt idx="0">
                    <c:v>Planification et maîtrise opérationnelles</c:v>
                  </c:pt>
                  <c:pt idx="1">
                    <c:v>Exigences relatives aux produits et services</c:v>
                  </c:pt>
                  <c:pt idx="2">
                    <c:v>Conception et développement de produits et services</c:v>
                  </c:pt>
                  <c:pt idx="3">
                    <c:v>Maîtrise des processus, produits et services fournis par des prestataires externes</c:v>
                  </c:pt>
                  <c:pt idx="4">
                    <c:v>Production et prestation de service</c:v>
                  </c:pt>
                  <c:pt idx="5">
                    <c:v>Libération des produits et services</c:v>
                  </c:pt>
                  <c:pt idx="6">
                    <c:v>Maîtrise des éléments de sortie non conformes</c:v>
                  </c:pt>
                </c:lvl>
                <c:lvl>
                  <c:pt idx="0">
                    <c:v>8.1</c:v>
                  </c:pt>
                  <c:pt idx="1">
                    <c:v>8.2</c:v>
                  </c:pt>
                  <c:pt idx="2">
                    <c:v>8.3</c:v>
                  </c:pt>
                  <c:pt idx="3">
                    <c:v>8.4</c:v>
                  </c:pt>
                  <c:pt idx="4">
                    <c:v>8.5</c:v>
                  </c:pt>
                  <c:pt idx="5">
                    <c:v>8.6</c:v>
                  </c:pt>
                  <c:pt idx="6">
                    <c:v>8.7</c:v>
                  </c:pt>
                </c:lvl>
              </c:multiLvlStrCache>
            </c:multiLvlStrRef>
          </c:cat>
          <c:val>
            <c:numRef>
              <c:f>'Résultats Globaux'!$H$46:$H$52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D7C3-4C8C-9551-DF9AED35F714}"/>
            </c:ext>
          </c:extLst>
        </c:ser>
        <c:dLbls>
          <c:showLegendKey val="0"/>
          <c:showVal val="0"/>
          <c:showCatName val="0"/>
          <c:showSerName val="0"/>
          <c:showPercent val="0"/>
          <c:showBubbleSize val="0"/>
        </c:dLbls>
        <c:axId val="280483216"/>
        <c:axId val="281175232"/>
      </c:radarChart>
      <c:catAx>
        <c:axId val="280483216"/>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281175232"/>
        <c:crosses val="autoZero"/>
        <c:auto val="0"/>
        <c:lblAlgn val="ctr"/>
        <c:lblOffset val="100"/>
        <c:noMultiLvlLbl val="0"/>
      </c:catAx>
      <c:valAx>
        <c:axId val="281175232"/>
        <c:scaling>
          <c:orientation val="minMax"/>
          <c:max val="1"/>
          <c:min val="0"/>
        </c:scaling>
        <c:delete val="0"/>
        <c:axPos val="l"/>
        <c:majorGridlines>
          <c:spPr>
            <a:ln w="3175">
              <a:solidFill>
                <a:srgbClr val="808080"/>
              </a:solidFill>
              <a:prstDash val="sysDash"/>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280483216"/>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344" r="0.75000000000000344" t="0.98425196899999956"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2264936292419"/>
          <c:y val="0.25165974822892506"/>
          <c:w val="0.55402352909100827"/>
          <c:h val="0.56910984842296497"/>
        </c:manualLayout>
      </c:layout>
      <c:radarChart>
        <c:radarStyle val="filled"/>
        <c:varyColors val="0"/>
        <c:ser>
          <c:idx val="1"/>
          <c:order val="0"/>
          <c:tx>
            <c:v>Article 7</c:v>
          </c:tx>
          <c:spPr>
            <a:solidFill>
              <a:srgbClr val="7030A0">
                <a:alpha val="52940"/>
              </a:srgbClr>
            </a:solidFill>
            <a:ln w="25400">
              <a:solidFill>
                <a:srgbClr val="993366"/>
              </a:solidFill>
              <a:prstDash val="solid"/>
            </a:ln>
          </c:spPr>
          <c:cat>
            <c:multiLvlStrRef>
              <c:f>'Résultats Globaux'!$C$54:$E$56</c:f>
              <c:multiLvlStrCache>
                <c:ptCount val="3"/>
                <c:lvl>
                  <c:pt idx="0">
                    <c:v>Surveillance, mesure, analyse et évaluation</c:v>
                  </c:pt>
                  <c:pt idx="1">
                    <c:v>Audit interne</c:v>
                  </c:pt>
                  <c:pt idx="2">
                    <c:v>Revue de direction</c:v>
                  </c:pt>
                </c:lvl>
                <c:lvl>
                  <c:pt idx="0">
                    <c:v>9.1</c:v>
                  </c:pt>
                  <c:pt idx="1">
                    <c:v>9.2</c:v>
                  </c:pt>
                  <c:pt idx="2">
                    <c:v>9.3</c:v>
                  </c:pt>
                </c:lvl>
              </c:multiLvlStrCache>
            </c:multiLvlStrRef>
          </c:cat>
          <c:val>
            <c:numRef>
              <c:f>'Résultats Globaux'!$H$54:$H$56</c:f>
              <c:numCache>
                <c:formatCode>0%</c:formatCode>
                <c:ptCount val="3"/>
                <c:pt idx="0">
                  <c:v>0</c:v>
                </c:pt>
                <c:pt idx="1">
                  <c:v>0</c:v>
                </c:pt>
                <c:pt idx="2">
                  <c:v>0</c:v>
                </c:pt>
              </c:numCache>
            </c:numRef>
          </c:val>
          <c:extLst>
            <c:ext xmlns:c16="http://schemas.microsoft.com/office/drawing/2014/chart" uri="{C3380CC4-5D6E-409C-BE32-E72D297353CC}">
              <c16:uniqueId val="{00000000-4C83-4269-A793-6E2E3421E054}"/>
            </c:ext>
          </c:extLst>
        </c:ser>
        <c:ser>
          <c:idx val="0"/>
          <c:order val="1"/>
          <c:tx>
            <c:v>Article 7</c:v>
          </c:tx>
          <c:spPr>
            <a:solidFill>
              <a:srgbClr val="7030A0">
                <a:alpha val="52940"/>
              </a:srgbClr>
            </a:solidFill>
            <a:ln w="25400">
              <a:solidFill>
                <a:srgbClr val="993366"/>
              </a:solidFill>
              <a:prstDash val="solid"/>
            </a:ln>
          </c:spPr>
          <c:dLbls>
            <c:dLbl>
              <c:idx val="0"/>
              <c:layout>
                <c:manualLayout>
                  <c:x val="6.5657660359525236E-2"/>
                  <c:y val="0.111581572138541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83-4269-A793-6E2E3421E054}"/>
                </c:ext>
              </c:extLst>
            </c:dLbl>
            <c:dLbl>
              <c:idx val="1"/>
              <c:layout>
                <c:manualLayout>
                  <c:x val="-0.10064616391297231"/>
                  <c:y val="-6.17244764260438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83-4269-A793-6E2E3421E054}"/>
                </c:ext>
              </c:extLst>
            </c:dLbl>
            <c:dLbl>
              <c:idx val="2"/>
              <c:layout>
                <c:manualLayout>
                  <c:x val="5.915762400712507E-2"/>
                  <c:y val="-6.3848319340087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83-4269-A793-6E2E3421E054}"/>
                </c:ext>
              </c:extLst>
            </c:dLbl>
            <c:dLbl>
              <c:idx val="3"/>
              <c:layout>
                <c:manualLayout>
                  <c:x val="-1.4427358816365851E-2"/>
                  <c:y val="2.3712356051295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83-4269-A793-6E2E3421E054}"/>
                </c:ext>
              </c:extLst>
            </c:dLbl>
            <c:dLbl>
              <c:idx val="4"/>
              <c:layout>
                <c:manualLayout>
                  <c:x val="3.7511132922551156E-2"/>
                  <c:y val="-4.7424712102590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83-4269-A793-6E2E3421E054}"/>
                </c:ext>
              </c:extLst>
            </c:dLbl>
            <c:spPr>
              <a:noFill/>
              <a:ln w="25400">
                <a:noFill/>
              </a:ln>
            </c:spPr>
            <c:txPr>
              <a:bodyPr/>
              <a:lstStyle/>
              <a:p>
                <a:pPr algn="ctr" rtl="1">
                  <a:defRPr sz="1000" b="1" i="0" u="none" strike="noStrike" baseline="0">
                    <a:solidFill>
                      <a:srgbClr val="DD0806"/>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Globaux'!$C$54:$E$56</c:f>
              <c:multiLvlStrCache>
                <c:ptCount val="3"/>
                <c:lvl>
                  <c:pt idx="0">
                    <c:v>Surveillance, mesure, analyse et évaluation</c:v>
                  </c:pt>
                  <c:pt idx="1">
                    <c:v>Audit interne</c:v>
                  </c:pt>
                  <c:pt idx="2">
                    <c:v>Revue de direction</c:v>
                  </c:pt>
                </c:lvl>
                <c:lvl>
                  <c:pt idx="0">
                    <c:v>9.1</c:v>
                  </c:pt>
                  <c:pt idx="1">
                    <c:v>9.2</c:v>
                  </c:pt>
                  <c:pt idx="2">
                    <c:v>9.3</c:v>
                  </c:pt>
                </c:lvl>
              </c:multiLvlStrCache>
            </c:multiLvlStrRef>
          </c:cat>
          <c:val>
            <c:numRef>
              <c:f>'Résultats Globaux'!$H$54:$H$56</c:f>
              <c:numCache>
                <c:formatCode>0%</c:formatCode>
                <c:ptCount val="3"/>
                <c:pt idx="0">
                  <c:v>0</c:v>
                </c:pt>
                <c:pt idx="1">
                  <c:v>0</c:v>
                </c:pt>
                <c:pt idx="2">
                  <c:v>0</c:v>
                </c:pt>
              </c:numCache>
            </c:numRef>
          </c:val>
          <c:extLst>
            <c:ext xmlns:c16="http://schemas.microsoft.com/office/drawing/2014/chart" uri="{C3380CC4-5D6E-409C-BE32-E72D297353CC}">
              <c16:uniqueId val="{00000006-4C83-4269-A793-6E2E3421E054}"/>
            </c:ext>
          </c:extLst>
        </c:ser>
        <c:dLbls>
          <c:showLegendKey val="0"/>
          <c:showVal val="0"/>
          <c:showCatName val="0"/>
          <c:showSerName val="0"/>
          <c:showPercent val="0"/>
          <c:showBubbleSize val="0"/>
        </c:dLbls>
        <c:axId val="281176016"/>
        <c:axId val="281176408"/>
      </c:radarChart>
      <c:catAx>
        <c:axId val="281176016"/>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281176408"/>
        <c:crosses val="autoZero"/>
        <c:auto val="0"/>
        <c:lblAlgn val="ctr"/>
        <c:lblOffset val="100"/>
        <c:noMultiLvlLbl val="0"/>
      </c:catAx>
      <c:valAx>
        <c:axId val="281176408"/>
        <c:scaling>
          <c:orientation val="minMax"/>
          <c:max val="1"/>
          <c:min val="0"/>
        </c:scaling>
        <c:delete val="0"/>
        <c:axPos val="l"/>
        <c:majorGridlines>
          <c:spPr>
            <a:ln w="3175">
              <a:solidFill>
                <a:srgbClr val="808080"/>
              </a:solidFill>
              <a:prstDash val="sysDash"/>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281176016"/>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pageMargins b="0.98425196899999956" l="0.75000000000000344" r="0.75000000000000344" t="0.98425196899999956" header="0.5" footer="0.5"/>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g"/><Relationship Id="rId1" Type="http://schemas.openxmlformats.org/officeDocument/2006/relationships/image" Target="../media/image6.jpg"/><Relationship Id="rId5" Type="http://schemas.openxmlformats.org/officeDocument/2006/relationships/image" Target="../media/image10.png"/><Relationship Id="rId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90052</xdr:colOff>
      <xdr:row>20</xdr:row>
      <xdr:rowOff>184622</xdr:rowOff>
    </xdr:from>
    <xdr:to>
      <xdr:col>9</xdr:col>
      <xdr:colOff>1966367</xdr:colOff>
      <xdr:row>22</xdr:row>
      <xdr:rowOff>303070</xdr:rowOff>
    </xdr:to>
    <xdr:pic>
      <xdr:nvPicPr>
        <xdr:cNvPr id="27" name="Image 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51666" y="8445395"/>
          <a:ext cx="1876315" cy="1330720"/>
        </a:xfrm>
        <a:prstGeom prst="rect">
          <a:avLst/>
        </a:prstGeom>
      </xdr:spPr>
    </xdr:pic>
    <xdr:clientData/>
  </xdr:twoCellAnchor>
  <xdr:twoCellAnchor editAs="oneCell">
    <xdr:from>
      <xdr:col>9</xdr:col>
      <xdr:colOff>58793</xdr:colOff>
      <xdr:row>22</xdr:row>
      <xdr:rowOff>580160</xdr:rowOff>
    </xdr:from>
    <xdr:to>
      <xdr:col>9</xdr:col>
      <xdr:colOff>1966367</xdr:colOff>
      <xdr:row>25</xdr:row>
      <xdr:rowOff>544307</xdr:rowOff>
    </xdr:to>
    <xdr:pic>
      <xdr:nvPicPr>
        <xdr:cNvPr id="23" name="Image 2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558"/>
        <a:stretch/>
      </xdr:blipFill>
      <xdr:spPr>
        <a:xfrm>
          <a:off x="8120407" y="10053205"/>
          <a:ext cx="1907574" cy="1340943"/>
        </a:xfrm>
        <a:prstGeom prst="rect">
          <a:avLst/>
        </a:prstGeom>
      </xdr:spPr>
    </xdr:pic>
    <xdr:clientData/>
  </xdr:twoCellAnchor>
  <xdr:twoCellAnchor editAs="oneCell">
    <xdr:from>
      <xdr:col>9</xdr:col>
      <xdr:colOff>69272</xdr:colOff>
      <xdr:row>17</xdr:row>
      <xdr:rowOff>95827</xdr:rowOff>
    </xdr:from>
    <xdr:to>
      <xdr:col>9</xdr:col>
      <xdr:colOff>1966367</xdr:colOff>
      <xdr:row>19</xdr:row>
      <xdr:rowOff>444921</xdr:rowOff>
    </xdr:to>
    <xdr:pic>
      <xdr:nvPicPr>
        <xdr:cNvPr id="22" name="Image 2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30886" y="6685395"/>
          <a:ext cx="1897095" cy="1422821"/>
        </a:xfrm>
        <a:prstGeom prst="rect">
          <a:avLst/>
        </a:prstGeom>
      </xdr:spPr>
    </xdr:pic>
    <xdr:clientData/>
  </xdr:twoCellAnchor>
  <xdr:twoCellAnchor editAs="oneCell">
    <xdr:from>
      <xdr:col>9</xdr:col>
      <xdr:colOff>56730</xdr:colOff>
      <xdr:row>13</xdr:row>
      <xdr:rowOff>2255407</xdr:rowOff>
    </xdr:from>
    <xdr:to>
      <xdr:col>9</xdr:col>
      <xdr:colOff>1966367</xdr:colOff>
      <xdr:row>15</xdr:row>
      <xdr:rowOff>165385</xdr:rowOff>
    </xdr:to>
    <xdr:pic>
      <xdr:nvPicPr>
        <xdr:cNvPr id="4" name="Imag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118344" y="5095589"/>
          <a:ext cx="1909637" cy="1269705"/>
        </a:xfrm>
        <a:prstGeom prst="rect">
          <a:avLst/>
        </a:prstGeom>
      </xdr:spPr>
    </xdr:pic>
    <xdr:clientData/>
  </xdr:twoCellAnchor>
  <xdr:twoCellAnchor>
    <xdr:from>
      <xdr:col>9</xdr:col>
      <xdr:colOff>140946</xdr:colOff>
      <xdr:row>0</xdr:row>
      <xdr:rowOff>112444</xdr:rowOff>
    </xdr:from>
    <xdr:to>
      <xdr:col>9</xdr:col>
      <xdr:colOff>1845921</xdr:colOff>
      <xdr:row>13</xdr:row>
      <xdr:rowOff>51954</xdr:rowOff>
    </xdr:to>
    <xdr:sp macro="" textlink="">
      <xdr:nvSpPr>
        <xdr:cNvPr id="20" name="Retângulo 19"/>
        <xdr:cNvSpPr/>
      </xdr:nvSpPr>
      <xdr:spPr>
        <a:xfrm>
          <a:off x="8202560" y="112444"/>
          <a:ext cx="1704975" cy="2779692"/>
        </a:xfrm>
        <a:prstGeom prst="rect">
          <a:avLst/>
        </a:prstGeom>
        <a:solidFill>
          <a:schemeClr val="bg1"/>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9</xdr:col>
      <xdr:colOff>1191821</xdr:colOff>
      <xdr:row>11</xdr:row>
      <xdr:rowOff>190500</xdr:rowOff>
    </xdr:from>
    <xdr:to>
      <xdr:col>9</xdr:col>
      <xdr:colOff>1809278</xdr:colOff>
      <xdr:row>12</xdr:row>
      <xdr:rowOff>258476</xdr:rowOff>
    </xdr:to>
    <xdr:pic>
      <xdr:nvPicPr>
        <xdr:cNvPr id="5" name="4 Imagen" descr="téléchargement.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9253435" y="2528455"/>
          <a:ext cx="617457" cy="3104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238125</xdr:colOff>
          <xdr:row>6</xdr:row>
          <xdr:rowOff>133350</xdr:rowOff>
        </xdr:from>
        <xdr:to>
          <xdr:col>9</xdr:col>
          <xdr:colOff>1771650</xdr:colOff>
          <xdr:row>8</xdr:row>
          <xdr:rowOff>19050</xdr:rowOff>
        </xdr:to>
        <xdr:sp macro="" textlink="">
          <xdr:nvSpPr>
            <xdr:cNvPr id="1062" name="CommandButton2"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8</xdr:row>
          <xdr:rowOff>76200</xdr:rowOff>
        </xdr:from>
        <xdr:to>
          <xdr:col>9</xdr:col>
          <xdr:colOff>1790700</xdr:colOff>
          <xdr:row>9</xdr:row>
          <xdr:rowOff>190500</xdr:rowOff>
        </xdr:to>
        <xdr:sp macro="" textlink="">
          <xdr:nvSpPr>
            <xdr:cNvPr id="1063" name="CommandButton3"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xdr:row>
          <xdr:rowOff>19050</xdr:rowOff>
        </xdr:from>
        <xdr:to>
          <xdr:col>9</xdr:col>
          <xdr:colOff>1771650</xdr:colOff>
          <xdr:row>4</xdr:row>
          <xdr:rowOff>66675</xdr:rowOff>
        </xdr:to>
        <xdr:sp macro="" textlink="">
          <xdr:nvSpPr>
            <xdr:cNvPr id="1066" name="CommandButton5"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xdr:row>
          <xdr:rowOff>9525</xdr:rowOff>
        </xdr:from>
        <xdr:to>
          <xdr:col>9</xdr:col>
          <xdr:colOff>1838325</xdr:colOff>
          <xdr:row>13</xdr:row>
          <xdr:rowOff>47625</xdr:rowOff>
        </xdr:to>
        <xdr:sp macro="" textlink="">
          <xdr:nvSpPr>
            <xdr:cNvPr id="1067" name="Group Box 43" hidden="1">
              <a:extLst>
                <a:ext uri="{63B3BB69-23CF-44E3-9099-C40C66FF867C}">
                  <a14:compatExt spid="_x0000_s1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MENU PRINCIPAL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xdr:row>
          <xdr:rowOff>123825</xdr:rowOff>
        </xdr:from>
        <xdr:to>
          <xdr:col>9</xdr:col>
          <xdr:colOff>1771650</xdr:colOff>
          <xdr:row>6</xdr:row>
          <xdr:rowOff>76200</xdr:rowOff>
        </xdr:to>
        <xdr:sp macro="" textlink="">
          <xdr:nvSpPr>
            <xdr:cNvPr id="1068" name="CommandButton6"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8</xdr:col>
      <xdr:colOff>0</xdr:colOff>
      <xdr:row>14</xdr:row>
      <xdr:rowOff>158801</xdr:rowOff>
    </xdr:from>
    <xdr:to>
      <xdr:col>9</xdr:col>
      <xdr:colOff>0</xdr:colOff>
      <xdr:row>15</xdr:row>
      <xdr:rowOff>259772</xdr:rowOff>
    </xdr:to>
    <xdr:pic>
      <xdr:nvPicPr>
        <xdr:cNvPr id="19" name="4 Imagen" descr="téléchargement.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7334250" y="6133574"/>
          <a:ext cx="727364" cy="360744"/>
        </a:xfrm>
        <a:prstGeom prst="rect">
          <a:avLst/>
        </a:prstGeom>
      </xdr:spPr>
    </xdr:pic>
    <xdr:clientData/>
  </xdr:twoCellAnchor>
  <xdr:twoCellAnchor>
    <xdr:from>
      <xdr:col>9</xdr:col>
      <xdr:colOff>25784</xdr:colOff>
      <xdr:row>15</xdr:row>
      <xdr:rowOff>193968</xdr:rowOff>
    </xdr:from>
    <xdr:to>
      <xdr:col>9</xdr:col>
      <xdr:colOff>1959359</xdr:colOff>
      <xdr:row>17</xdr:row>
      <xdr:rowOff>7798</xdr:rowOff>
    </xdr:to>
    <xdr:sp macro="" textlink="">
      <xdr:nvSpPr>
        <xdr:cNvPr id="2" name="CaixaDeTexto 1"/>
        <xdr:cNvSpPr txBox="1"/>
      </xdr:nvSpPr>
      <xdr:spPr>
        <a:xfrm>
          <a:off x="8087398" y="6393877"/>
          <a:ext cx="1933575" cy="203489"/>
        </a:xfrm>
        <a:prstGeom prst="rect">
          <a:avLst/>
        </a:prstGeom>
        <a:solidFill>
          <a:srgbClr val="FFFFFF">
            <a:alpha val="52941"/>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pt-BR" sz="1100">
            <a:solidFill>
              <a:srgbClr val="FF0000"/>
            </a:solidFill>
          </a:endParaRPr>
        </a:p>
      </xdr:txBody>
    </xdr:sp>
    <xdr:clientData/>
  </xdr:twoCellAnchor>
  <xdr:twoCellAnchor>
    <xdr:from>
      <xdr:col>9</xdr:col>
      <xdr:colOff>35501</xdr:colOff>
      <xdr:row>19</xdr:row>
      <xdr:rowOff>492274</xdr:rowOff>
    </xdr:from>
    <xdr:to>
      <xdr:col>9</xdr:col>
      <xdr:colOff>1969076</xdr:colOff>
      <xdr:row>20</xdr:row>
      <xdr:rowOff>94821</xdr:rowOff>
    </xdr:to>
    <xdr:sp macro="" textlink="">
      <xdr:nvSpPr>
        <xdr:cNvPr id="24" name="CaixaDeTexto 23"/>
        <xdr:cNvSpPr txBox="1"/>
      </xdr:nvSpPr>
      <xdr:spPr>
        <a:xfrm>
          <a:off x="8097115" y="8155569"/>
          <a:ext cx="1933575" cy="200025"/>
        </a:xfrm>
        <a:prstGeom prst="rect">
          <a:avLst/>
        </a:prstGeom>
        <a:solidFill>
          <a:srgbClr val="FFFFFF">
            <a:alpha val="52941"/>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pt-BR" sz="1100">
            <a:solidFill>
              <a:srgbClr val="FF0000"/>
            </a:solidFill>
          </a:endParaRPr>
        </a:p>
      </xdr:txBody>
    </xdr:sp>
    <xdr:clientData/>
  </xdr:twoCellAnchor>
  <xdr:twoCellAnchor>
    <xdr:from>
      <xdr:col>9</xdr:col>
      <xdr:colOff>17991</xdr:colOff>
      <xdr:row>26</xdr:row>
      <xdr:rowOff>38099</xdr:rowOff>
    </xdr:from>
    <xdr:to>
      <xdr:col>9</xdr:col>
      <xdr:colOff>1951566</xdr:colOff>
      <xdr:row>26</xdr:row>
      <xdr:rowOff>238124</xdr:rowOff>
    </xdr:to>
    <xdr:sp macro="" textlink="">
      <xdr:nvSpPr>
        <xdr:cNvPr id="25" name="CaixaDeTexto 24"/>
        <xdr:cNvSpPr txBox="1"/>
      </xdr:nvSpPr>
      <xdr:spPr>
        <a:xfrm>
          <a:off x="7288741" y="10727266"/>
          <a:ext cx="1933575" cy="200025"/>
        </a:xfrm>
        <a:prstGeom prst="rect">
          <a:avLst/>
        </a:prstGeom>
        <a:solidFill>
          <a:srgbClr val="FFFFFF">
            <a:alpha val="52941"/>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pt-BR" sz="1100">
            <a:solidFill>
              <a:srgbClr val="FF0000"/>
            </a:solidFill>
          </a:endParaRPr>
        </a:p>
      </xdr:txBody>
    </xdr:sp>
    <xdr:clientData/>
  </xdr:twoCellAnchor>
  <xdr:twoCellAnchor>
    <xdr:from>
      <xdr:col>9</xdr:col>
      <xdr:colOff>26842</xdr:colOff>
      <xdr:row>22</xdr:row>
      <xdr:rowOff>342037</xdr:rowOff>
    </xdr:from>
    <xdr:to>
      <xdr:col>9</xdr:col>
      <xdr:colOff>1960417</xdr:colOff>
      <xdr:row>22</xdr:row>
      <xdr:rowOff>542062</xdr:rowOff>
    </xdr:to>
    <xdr:sp macro="" textlink="">
      <xdr:nvSpPr>
        <xdr:cNvPr id="26" name="CaixaDeTexto 25"/>
        <xdr:cNvSpPr txBox="1"/>
      </xdr:nvSpPr>
      <xdr:spPr>
        <a:xfrm>
          <a:off x="8088456" y="9815082"/>
          <a:ext cx="1933575" cy="200025"/>
        </a:xfrm>
        <a:prstGeom prst="rect">
          <a:avLst/>
        </a:prstGeom>
        <a:solidFill>
          <a:srgbClr val="FFFFFF">
            <a:alpha val="52941"/>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pt-BR" sz="1100">
            <a:solidFill>
              <a:srgbClr val="FF0000"/>
            </a:solidFill>
          </a:endParaRPr>
        </a:p>
      </xdr:txBody>
    </xdr:sp>
    <xdr:clientData/>
  </xdr:twoCellAnchor>
  <xdr:twoCellAnchor>
    <xdr:from>
      <xdr:col>9</xdr:col>
      <xdr:colOff>1829594</xdr:colOff>
      <xdr:row>13</xdr:row>
      <xdr:rowOff>1915581</xdr:rowOff>
    </xdr:from>
    <xdr:to>
      <xdr:col>10</xdr:col>
      <xdr:colOff>0</xdr:colOff>
      <xdr:row>26</xdr:row>
      <xdr:rowOff>243415</xdr:rowOff>
    </xdr:to>
    <xdr:sp macro="" textlink="">
      <xdr:nvSpPr>
        <xdr:cNvPr id="10" name="CaixaDeTexto 9"/>
        <xdr:cNvSpPr txBox="1"/>
      </xdr:nvSpPr>
      <xdr:spPr>
        <a:xfrm rot="16200000">
          <a:off x="6359921" y="8021504"/>
          <a:ext cx="5619751" cy="138906"/>
        </a:xfrm>
        <a:prstGeom prst="rect">
          <a:avLst/>
        </a:prstGeom>
        <a:solidFill>
          <a:srgbClr val="2828FC">
            <a:alpha val="4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a:solidFill>
                <a:schemeClr val="bg1"/>
              </a:solidFill>
            </a:rPr>
            <a:t>Images du site Pinterest : https://www.pinterest.fr/</a:t>
          </a:r>
        </a:p>
      </xdr:txBody>
    </xdr:sp>
    <xdr:clientData/>
  </xdr:twoCellAnchor>
  <mc:AlternateContent xmlns:mc="http://schemas.openxmlformats.org/markup-compatibility/2006">
    <mc:Choice xmlns:a14="http://schemas.microsoft.com/office/drawing/2010/main" Requires="a14">
      <xdr:twoCellAnchor editAs="oneCell">
        <xdr:from>
          <xdr:col>9</xdr:col>
          <xdr:colOff>238125</xdr:colOff>
          <xdr:row>2</xdr:row>
          <xdr:rowOff>28575</xdr:rowOff>
        </xdr:from>
        <xdr:to>
          <xdr:col>9</xdr:col>
          <xdr:colOff>1790700</xdr:colOff>
          <xdr:row>2</xdr:row>
          <xdr:rowOff>361950</xdr:rowOff>
        </xdr:to>
        <xdr:sp macro="" textlink="">
          <xdr:nvSpPr>
            <xdr:cNvPr id="1070" name="CommandButton1"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885825</xdr:colOff>
          <xdr:row>42</xdr:row>
          <xdr:rowOff>0</xdr:rowOff>
        </xdr:from>
        <xdr:to>
          <xdr:col>4</xdr:col>
          <xdr:colOff>200025</xdr:colOff>
          <xdr:row>42</xdr:row>
          <xdr:rowOff>219075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46</xdr:row>
          <xdr:rowOff>0</xdr:rowOff>
        </xdr:from>
        <xdr:to>
          <xdr:col>4</xdr:col>
          <xdr:colOff>200025</xdr:colOff>
          <xdr:row>46</xdr:row>
          <xdr:rowOff>219075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43</xdr:row>
          <xdr:rowOff>0</xdr:rowOff>
        </xdr:from>
        <xdr:to>
          <xdr:col>4</xdr:col>
          <xdr:colOff>200025</xdr:colOff>
          <xdr:row>43</xdr:row>
          <xdr:rowOff>219075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47</xdr:row>
          <xdr:rowOff>0</xdr:rowOff>
        </xdr:from>
        <xdr:to>
          <xdr:col>4</xdr:col>
          <xdr:colOff>200025</xdr:colOff>
          <xdr:row>47</xdr:row>
          <xdr:rowOff>219075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54</xdr:row>
          <xdr:rowOff>9525</xdr:rowOff>
        </xdr:from>
        <xdr:to>
          <xdr:col>4</xdr:col>
          <xdr:colOff>200025</xdr:colOff>
          <xdr:row>55</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57</xdr:row>
          <xdr:rowOff>9525</xdr:rowOff>
        </xdr:from>
        <xdr:to>
          <xdr:col>4</xdr:col>
          <xdr:colOff>200025</xdr:colOff>
          <xdr:row>58</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51</xdr:row>
          <xdr:rowOff>9525</xdr:rowOff>
        </xdr:from>
        <xdr:to>
          <xdr:col>4</xdr:col>
          <xdr:colOff>200025</xdr:colOff>
          <xdr:row>52</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55</xdr:row>
          <xdr:rowOff>9525</xdr:rowOff>
        </xdr:from>
        <xdr:to>
          <xdr:col>4</xdr:col>
          <xdr:colOff>200025</xdr:colOff>
          <xdr:row>56</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56</xdr:row>
          <xdr:rowOff>9525</xdr:rowOff>
        </xdr:from>
        <xdr:to>
          <xdr:col>4</xdr:col>
          <xdr:colOff>200025</xdr:colOff>
          <xdr:row>57</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53</xdr:row>
          <xdr:rowOff>9525</xdr:rowOff>
        </xdr:from>
        <xdr:to>
          <xdr:col>4</xdr:col>
          <xdr:colOff>200025</xdr:colOff>
          <xdr:row>54</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52</xdr:row>
          <xdr:rowOff>9525</xdr:rowOff>
        </xdr:from>
        <xdr:to>
          <xdr:col>4</xdr:col>
          <xdr:colOff>200025</xdr:colOff>
          <xdr:row>53</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44</xdr:row>
          <xdr:rowOff>0</xdr:rowOff>
        </xdr:from>
        <xdr:to>
          <xdr:col>4</xdr:col>
          <xdr:colOff>200025</xdr:colOff>
          <xdr:row>44</xdr:row>
          <xdr:rowOff>219075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45</xdr:row>
          <xdr:rowOff>0</xdr:rowOff>
        </xdr:from>
        <xdr:to>
          <xdr:col>4</xdr:col>
          <xdr:colOff>200025</xdr:colOff>
          <xdr:row>45</xdr:row>
          <xdr:rowOff>219075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48</xdr:row>
          <xdr:rowOff>0</xdr:rowOff>
        </xdr:from>
        <xdr:to>
          <xdr:col>4</xdr:col>
          <xdr:colOff>200025</xdr:colOff>
          <xdr:row>48</xdr:row>
          <xdr:rowOff>219075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49</xdr:row>
          <xdr:rowOff>0</xdr:rowOff>
        </xdr:from>
        <xdr:to>
          <xdr:col>4</xdr:col>
          <xdr:colOff>200025</xdr:colOff>
          <xdr:row>49</xdr:row>
          <xdr:rowOff>219075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50</xdr:row>
          <xdr:rowOff>0</xdr:rowOff>
        </xdr:from>
        <xdr:to>
          <xdr:col>4</xdr:col>
          <xdr:colOff>200025</xdr:colOff>
          <xdr:row>50</xdr:row>
          <xdr:rowOff>219075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35</xdr:col>
      <xdr:colOff>42862</xdr:colOff>
      <xdr:row>10</xdr:row>
      <xdr:rowOff>98469</xdr:rowOff>
    </xdr:from>
    <xdr:to>
      <xdr:col>35</xdr:col>
      <xdr:colOff>1884361</xdr:colOff>
      <xdr:row>18</xdr:row>
      <xdr:rowOff>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666093</xdr:colOff>
      <xdr:row>10</xdr:row>
      <xdr:rowOff>417350</xdr:rowOff>
    </xdr:from>
    <xdr:to>
      <xdr:col>8</xdr:col>
      <xdr:colOff>2161519</xdr:colOff>
      <xdr:row>19</xdr:row>
      <xdr:rowOff>177144</xdr:rowOff>
    </xdr:to>
    <xdr:graphicFrame macro="">
      <xdr:nvGraphicFramePr>
        <xdr:cNvPr id="3" name="Chart 2">
          <a:extLst>
            <a:ext uri="{FF2B5EF4-FFF2-40B4-BE49-F238E27FC236}">
              <a16:creationId xmlns:a16="http://schemas.microsoft.com/office/drawing/2014/main" id="{00000000-0008-0000-0200-00003E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29195</xdr:colOff>
      <xdr:row>10</xdr:row>
      <xdr:rowOff>6570</xdr:rowOff>
    </xdr:from>
    <xdr:to>
      <xdr:col>4</xdr:col>
      <xdr:colOff>1376198</xdr:colOff>
      <xdr:row>15</xdr:row>
      <xdr:rowOff>111673</xdr:rowOff>
    </xdr:to>
    <xdr:graphicFrame macro="">
      <xdr:nvGraphicFramePr>
        <xdr:cNvPr id="4" name="Chart 2">
          <a:extLst>
            <a:ext uri="{FF2B5EF4-FFF2-40B4-BE49-F238E27FC236}">
              <a16:creationId xmlns:a16="http://schemas.microsoft.com/office/drawing/2014/main" id="{00000000-0008-0000-0200-00003F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63209</xdr:colOff>
      <xdr:row>7</xdr:row>
      <xdr:rowOff>296142</xdr:rowOff>
    </xdr:from>
    <xdr:to>
      <xdr:col>7</xdr:col>
      <xdr:colOff>484908</xdr:colOff>
      <xdr:row>14</xdr:row>
      <xdr:rowOff>701386</xdr:rowOff>
    </xdr:to>
    <xdr:graphicFrame macro="">
      <xdr:nvGraphicFramePr>
        <xdr:cNvPr id="3114736" name="Chart 2">
          <a:extLst>
            <a:ext uri="{FF2B5EF4-FFF2-40B4-BE49-F238E27FC236}">
              <a16:creationId xmlns:a16="http://schemas.microsoft.com/office/drawing/2014/main" id="{00000000-0008-0000-0300-0000F0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45892</xdr:colOff>
      <xdr:row>18</xdr:row>
      <xdr:rowOff>104775</xdr:rowOff>
    </xdr:from>
    <xdr:to>
      <xdr:col>6</xdr:col>
      <xdr:colOff>966298</xdr:colOff>
      <xdr:row>23</xdr:row>
      <xdr:rowOff>1054608</xdr:rowOff>
    </xdr:to>
    <xdr:graphicFrame macro="">
      <xdr:nvGraphicFramePr>
        <xdr:cNvPr id="3114737" name="Chart 2">
          <a:extLst>
            <a:ext uri="{FF2B5EF4-FFF2-40B4-BE49-F238E27FC236}">
              <a16:creationId xmlns:a16="http://schemas.microsoft.com/office/drawing/2014/main" id="{00000000-0008-0000-0300-0000F1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261215</xdr:colOff>
      <xdr:row>27</xdr:row>
      <xdr:rowOff>13855</xdr:rowOff>
    </xdr:from>
    <xdr:to>
      <xdr:col>6</xdr:col>
      <xdr:colOff>1181621</xdr:colOff>
      <xdr:row>32</xdr:row>
      <xdr:rowOff>895518</xdr:rowOff>
    </xdr:to>
    <xdr:graphicFrame macro="">
      <xdr:nvGraphicFramePr>
        <xdr:cNvPr id="25" name="Chart 2">
          <a:extLst>
            <a:ext uri="{FF2B5EF4-FFF2-40B4-BE49-F238E27FC236}">
              <a16:creationId xmlns:a16="http://schemas.microsoft.com/office/drawing/2014/main" id="{00000000-0008-0000-0300-0000F1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536863</xdr:colOff>
      <xdr:row>35</xdr:row>
      <xdr:rowOff>121227</xdr:rowOff>
    </xdr:from>
    <xdr:to>
      <xdr:col>7</xdr:col>
      <xdr:colOff>236337</xdr:colOff>
      <xdr:row>41</xdr:row>
      <xdr:rowOff>708481</xdr:rowOff>
    </xdr:to>
    <xdr:graphicFrame macro="">
      <xdr:nvGraphicFramePr>
        <xdr:cNvPr id="6" name="Chart 2">
          <a:extLst>
            <a:ext uri="{FF2B5EF4-FFF2-40B4-BE49-F238E27FC236}">
              <a16:creationId xmlns:a16="http://schemas.microsoft.com/office/drawing/2014/main" id="{00000000-0008-0000-0300-0000F1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3</xdr:col>
      <xdr:colOff>89187</xdr:colOff>
      <xdr:row>45</xdr:row>
      <xdr:rowOff>140279</xdr:rowOff>
    </xdr:from>
    <xdr:ext cx="5123585" cy="3972789"/>
    <xdr:graphicFrame macro="">
      <xdr:nvGraphicFramePr>
        <xdr:cNvPr id="8" name="Chart 2">
          <a:extLst>
            <a:ext uri="{FF2B5EF4-FFF2-40B4-BE49-F238E27FC236}">
              <a16:creationId xmlns:a16="http://schemas.microsoft.com/office/drawing/2014/main" id="{00000000-0008-0000-0300-0000F0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3</xdr:col>
      <xdr:colOff>450272</xdr:colOff>
      <xdr:row>54</xdr:row>
      <xdr:rowOff>233795</xdr:rowOff>
    </xdr:from>
    <xdr:ext cx="4401360" cy="4284686"/>
    <xdr:graphicFrame macro="">
      <xdr:nvGraphicFramePr>
        <xdr:cNvPr id="9" name="Chart 2">
          <a:extLst>
            <a:ext uri="{FF2B5EF4-FFF2-40B4-BE49-F238E27FC236}">
              <a16:creationId xmlns:a16="http://schemas.microsoft.com/office/drawing/2014/main" id="{00000000-0008-0000-0300-0000F1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3</xdr:col>
      <xdr:colOff>253710</xdr:colOff>
      <xdr:row>63</xdr:row>
      <xdr:rowOff>96115</xdr:rowOff>
    </xdr:from>
    <xdr:ext cx="4401360" cy="4344196"/>
    <xdr:graphicFrame macro="">
      <xdr:nvGraphicFramePr>
        <xdr:cNvPr id="10" name="Chart 2">
          <a:extLst>
            <a:ext uri="{FF2B5EF4-FFF2-40B4-BE49-F238E27FC236}">
              <a16:creationId xmlns:a16="http://schemas.microsoft.com/office/drawing/2014/main" id="{00000000-0008-0000-0300-0000F1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omments" Target="../comments1.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499984740745262"/>
    <pageSetUpPr fitToPage="1"/>
  </sheetPr>
  <dimension ref="A1:AI44"/>
  <sheetViews>
    <sheetView topLeftCell="A4" zoomScale="110" zoomScaleNormal="110" zoomScaleSheetLayoutView="110" zoomScalePageLayoutView="80" workbookViewId="0">
      <selection activeCell="I15" sqref="I15"/>
    </sheetView>
  </sheetViews>
  <sheetFormatPr baseColWidth="10" defaultColWidth="11" defaultRowHeight="11.25" x14ac:dyDescent="0.2"/>
  <cols>
    <col min="1" max="1" width="13.7109375" style="116" customWidth="1"/>
    <col min="2" max="2" width="18" style="116" customWidth="1"/>
    <col min="3" max="4" width="18.42578125" style="116" customWidth="1"/>
    <col min="5" max="5" width="9.140625" style="116" bestFit="1" customWidth="1"/>
    <col min="6" max="6" width="9" style="116" bestFit="1" customWidth="1"/>
    <col min="7" max="7" width="13.42578125" style="116" customWidth="1"/>
    <col min="8" max="8" width="9.85546875" style="116" customWidth="1"/>
    <col min="9" max="9" width="10.85546875" style="116" customWidth="1"/>
    <col min="10" max="10" width="29.5703125" style="26" customWidth="1"/>
    <col min="11" max="11" width="49.85546875" style="114" customWidth="1"/>
    <col min="12" max="12" width="49.140625" style="458" customWidth="1"/>
    <col min="13" max="13" width="23.7109375" style="458" customWidth="1"/>
    <col min="14" max="14" width="11.85546875" style="458" customWidth="1"/>
    <col min="15" max="15" width="11" style="457" customWidth="1"/>
    <col min="16" max="16" width="11.85546875" style="457" customWidth="1"/>
    <col min="17" max="19" width="11" style="457"/>
    <col min="20" max="30" width="11" style="114"/>
    <col min="31" max="35" width="11" style="115"/>
    <col min="36" max="16384" width="11" style="114"/>
  </cols>
  <sheetData>
    <row r="1" spans="1:35" s="28" customFormat="1" ht="12" customHeight="1" x14ac:dyDescent="0.2">
      <c r="A1" s="19" t="s">
        <v>328</v>
      </c>
      <c r="B1" s="20"/>
      <c r="C1" s="20"/>
      <c r="D1" s="21"/>
      <c r="E1" s="22"/>
      <c r="F1" s="20"/>
      <c r="G1" s="23"/>
      <c r="H1" s="24"/>
      <c r="I1" s="25" t="s">
        <v>74</v>
      </c>
      <c r="J1" s="27"/>
      <c r="K1" s="114"/>
      <c r="L1" s="454"/>
      <c r="M1" s="455"/>
      <c r="N1" s="456"/>
      <c r="O1" s="457"/>
      <c r="P1" s="457"/>
      <c r="Q1" s="457"/>
      <c r="R1" s="457"/>
      <c r="S1" s="457"/>
      <c r="T1" s="114"/>
      <c r="U1" s="114"/>
      <c r="V1" s="114"/>
      <c r="W1" s="114"/>
      <c r="X1" s="114"/>
      <c r="Y1" s="114"/>
      <c r="Z1" s="114"/>
      <c r="AA1" s="114"/>
      <c r="AB1" s="114"/>
      <c r="AC1" s="114"/>
      <c r="AD1" s="114"/>
      <c r="AE1" s="115"/>
      <c r="AF1" s="115"/>
      <c r="AG1" s="115"/>
      <c r="AH1" s="115"/>
      <c r="AI1" s="115"/>
    </row>
    <row r="2" spans="1:35" s="28" customFormat="1" ht="10.5" customHeight="1" x14ac:dyDescent="0.2">
      <c r="A2" s="162"/>
      <c r="B2" s="560"/>
      <c r="C2" s="560"/>
      <c r="D2" s="560"/>
      <c r="E2" s="560"/>
      <c r="F2" s="560"/>
      <c r="G2" s="560"/>
      <c r="H2" s="560"/>
      <c r="I2" s="560"/>
      <c r="J2" s="27"/>
      <c r="K2" s="114"/>
      <c r="L2" s="456"/>
      <c r="M2" s="456"/>
      <c r="N2" s="456"/>
      <c r="O2" s="457"/>
      <c r="P2" s="457"/>
      <c r="Q2" s="457"/>
      <c r="R2" s="457"/>
      <c r="S2" s="457"/>
      <c r="T2" s="114"/>
      <c r="U2" s="114"/>
      <c r="V2" s="114"/>
      <c r="W2" s="114"/>
      <c r="X2" s="114"/>
      <c r="Y2" s="114"/>
      <c r="Z2" s="114"/>
      <c r="AA2" s="114"/>
      <c r="AB2" s="114"/>
      <c r="AC2" s="114"/>
      <c r="AD2" s="114"/>
      <c r="AE2" s="115"/>
      <c r="AF2" s="115"/>
      <c r="AG2" s="115"/>
      <c r="AH2" s="115"/>
      <c r="AI2" s="115"/>
    </row>
    <row r="3" spans="1:35" s="28" customFormat="1" ht="30.75" customHeight="1" x14ac:dyDescent="0.2">
      <c r="A3" s="573" t="s">
        <v>614</v>
      </c>
      <c r="B3" s="573"/>
      <c r="C3" s="573"/>
      <c r="D3" s="573"/>
      <c r="E3" s="573"/>
      <c r="F3" s="573"/>
      <c r="G3" s="573"/>
      <c r="H3" s="573"/>
      <c r="I3" s="573"/>
      <c r="J3" s="27"/>
      <c r="K3" s="458"/>
      <c r="L3" s="459"/>
      <c r="M3" s="456"/>
      <c r="N3" s="456"/>
      <c r="O3" s="457"/>
      <c r="P3" s="457"/>
      <c r="Q3" s="457"/>
      <c r="R3" s="457"/>
      <c r="S3" s="457"/>
      <c r="T3" s="114"/>
      <c r="U3" s="114"/>
      <c r="V3" s="114"/>
      <c r="W3" s="114"/>
      <c r="X3" s="114"/>
      <c r="Y3" s="114"/>
      <c r="Z3" s="114"/>
      <c r="AA3" s="114"/>
      <c r="AB3" s="114"/>
      <c r="AC3" s="114"/>
      <c r="AD3" s="114"/>
      <c r="AE3" s="115"/>
      <c r="AF3" s="115"/>
      <c r="AG3" s="115"/>
      <c r="AH3" s="115"/>
      <c r="AI3" s="115"/>
    </row>
    <row r="4" spans="1:35" s="28" customFormat="1" ht="23.25" customHeight="1" x14ac:dyDescent="0.2">
      <c r="A4" s="573"/>
      <c r="B4" s="573"/>
      <c r="C4" s="573"/>
      <c r="D4" s="573"/>
      <c r="E4" s="573"/>
      <c r="F4" s="573"/>
      <c r="G4" s="573"/>
      <c r="H4" s="573"/>
      <c r="I4" s="573"/>
      <c r="J4" s="27"/>
      <c r="K4" s="460"/>
      <c r="L4" s="456"/>
      <c r="M4" s="456"/>
      <c r="N4" s="456"/>
      <c r="O4" s="457"/>
      <c r="P4" s="457"/>
      <c r="Q4" s="457"/>
      <c r="R4" s="457"/>
      <c r="S4" s="457"/>
      <c r="T4" s="114"/>
      <c r="U4" s="114"/>
      <c r="V4" s="114"/>
      <c r="W4" s="114"/>
      <c r="X4" s="114"/>
      <c r="Y4" s="114"/>
      <c r="Z4" s="114"/>
      <c r="AA4" s="114"/>
      <c r="AB4" s="114"/>
      <c r="AC4" s="114"/>
      <c r="AD4" s="114"/>
      <c r="AE4" s="115"/>
      <c r="AF4" s="115"/>
      <c r="AG4" s="115"/>
      <c r="AH4" s="115"/>
      <c r="AI4" s="115"/>
    </row>
    <row r="5" spans="1:35" s="28" customFormat="1" ht="18" customHeight="1" x14ac:dyDescent="0.2">
      <c r="A5" s="573"/>
      <c r="B5" s="573"/>
      <c r="C5" s="573"/>
      <c r="D5" s="573"/>
      <c r="E5" s="573"/>
      <c r="F5" s="573"/>
      <c r="G5" s="573"/>
      <c r="H5" s="573"/>
      <c r="I5" s="573"/>
      <c r="J5" s="27"/>
      <c r="K5" s="114"/>
      <c r="L5" s="456"/>
      <c r="M5" s="456"/>
      <c r="N5" s="456"/>
      <c r="O5" s="457"/>
      <c r="P5" s="457"/>
      <c r="Q5" s="457"/>
      <c r="R5" s="457"/>
      <c r="S5" s="457"/>
      <c r="T5" s="114"/>
      <c r="U5" s="114"/>
      <c r="V5" s="114"/>
      <c r="W5" s="114"/>
      <c r="X5" s="114"/>
      <c r="Y5" s="114"/>
      <c r="Z5" s="114"/>
      <c r="AA5" s="114"/>
      <c r="AB5" s="114"/>
      <c r="AC5" s="114"/>
      <c r="AD5" s="114"/>
      <c r="AE5" s="115"/>
      <c r="AF5" s="115"/>
      <c r="AG5" s="115"/>
      <c r="AH5" s="115"/>
      <c r="AI5" s="115"/>
    </row>
    <row r="6" spans="1:35" s="28" customFormat="1" ht="14.1" customHeight="1" x14ac:dyDescent="0.2">
      <c r="A6" s="524" t="s">
        <v>59</v>
      </c>
      <c r="B6" s="564"/>
      <c r="C6" s="564"/>
      <c r="D6" s="564"/>
      <c r="E6" s="564"/>
      <c r="F6" s="564"/>
      <c r="G6" s="564"/>
      <c r="H6" s="564"/>
      <c r="I6" s="564"/>
      <c r="J6" s="27"/>
      <c r="K6" s="114"/>
      <c r="L6" s="456"/>
      <c r="M6" s="456"/>
      <c r="N6" s="456"/>
      <c r="O6" s="457"/>
      <c r="P6" s="457"/>
      <c r="Q6" s="457"/>
      <c r="R6" s="457"/>
      <c r="S6" s="457"/>
      <c r="T6" s="114"/>
      <c r="U6" s="114"/>
      <c r="V6" s="114"/>
      <c r="W6" s="114"/>
      <c r="X6" s="114"/>
      <c r="Y6" s="114"/>
      <c r="Z6" s="114"/>
      <c r="AA6" s="114"/>
      <c r="AB6" s="114"/>
      <c r="AC6" s="114"/>
      <c r="AD6" s="114"/>
      <c r="AE6" s="115"/>
      <c r="AF6" s="115"/>
      <c r="AG6" s="115"/>
      <c r="AH6" s="115"/>
      <c r="AI6" s="115"/>
    </row>
    <row r="7" spans="1:35" s="28" customFormat="1" ht="18" customHeight="1" x14ac:dyDescent="0.2">
      <c r="A7" s="568" t="s">
        <v>0</v>
      </c>
      <c r="B7" s="569"/>
      <c r="C7" s="569"/>
      <c r="D7" s="570" t="s">
        <v>73</v>
      </c>
      <c r="E7" s="571"/>
      <c r="F7" s="571"/>
      <c r="G7" s="571"/>
      <c r="H7" s="571"/>
      <c r="I7" s="572"/>
      <c r="J7" s="27"/>
      <c r="K7" s="114"/>
      <c r="L7" s="461"/>
      <c r="M7" s="456"/>
      <c r="N7" s="456"/>
      <c r="O7" s="457"/>
      <c r="P7" s="457"/>
      <c r="Q7" s="457"/>
      <c r="R7" s="457"/>
      <c r="S7" s="457"/>
      <c r="T7" s="114"/>
      <c r="U7" s="114"/>
      <c r="V7" s="114"/>
      <c r="W7" s="114"/>
      <c r="X7" s="114"/>
      <c r="Y7" s="114"/>
      <c r="Z7" s="114"/>
      <c r="AA7" s="114"/>
      <c r="AB7" s="114"/>
      <c r="AC7" s="114"/>
      <c r="AD7" s="114"/>
      <c r="AE7" s="115"/>
      <c r="AF7" s="115"/>
      <c r="AG7" s="115"/>
      <c r="AH7" s="115"/>
      <c r="AI7" s="115"/>
    </row>
    <row r="8" spans="1:35" s="28" customFormat="1" ht="18" customHeight="1" x14ac:dyDescent="0.2">
      <c r="A8" s="537" t="s">
        <v>94</v>
      </c>
      <c r="B8" s="538"/>
      <c r="C8" s="538"/>
      <c r="D8" s="530" t="s">
        <v>49</v>
      </c>
      <c r="E8" s="531"/>
      <c r="F8" s="531"/>
      <c r="G8" s="531"/>
      <c r="H8" s="531"/>
      <c r="I8" s="532"/>
      <c r="J8" s="27"/>
      <c r="K8" s="114"/>
      <c r="L8" s="458"/>
      <c r="M8" s="456"/>
      <c r="N8" s="462"/>
      <c r="O8" s="457"/>
      <c r="P8" s="457"/>
      <c r="Q8" s="457"/>
      <c r="R8" s="457"/>
      <c r="S8" s="457"/>
      <c r="T8" s="114"/>
      <c r="U8" s="114"/>
      <c r="V8" s="114"/>
      <c r="W8" s="114"/>
      <c r="X8" s="114"/>
      <c r="Y8" s="114"/>
      <c r="Z8" s="114"/>
      <c r="AA8" s="114"/>
      <c r="AB8" s="114"/>
      <c r="AC8" s="114"/>
      <c r="AD8" s="114"/>
      <c r="AE8" s="115"/>
      <c r="AF8" s="115"/>
      <c r="AG8" s="115"/>
      <c r="AH8" s="115"/>
      <c r="AI8" s="115"/>
    </row>
    <row r="9" spans="1:35" s="28" customFormat="1" ht="18" customHeight="1" x14ac:dyDescent="0.2">
      <c r="A9" s="539" t="s">
        <v>95</v>
      </c>
      <c r="B9" s="540"/>
      <c r="C9" s="540"/>
      <c r="D9" s="541" t="s">
        <v>57</v>
      </c>
      <c r="E9" s="542"/>
      <c r="F9" s="542"/>
      <c r="G9" s="542"/>
      <c r="H9" s="533" t="s">
        <v>47</v>
      </c>
      <c r="I9" s="534"/>
      <c r="J9" s="27"/>
      <c r="K9" s="114"/>
      <c r="L9" s="456"/>
      <c r="M9" s="456"/>
      <c r="N9" s="456"/>
      <c r="O9" s="457"/>
      <c r="P9" s="457"/>
      <c r="Q9" s="457"/>
      <c r="R9" s="457"/>
      <c r="S9" s="457"/>
      <c r="T9" s="114"/>
      <c r="U9" s="114"/>
      <c r="V9" s="114"/>
      <c r="W9" s="114"/>
      <c r="X9" s="114"/>
      <c r="Y9" s="114"/>
      <c r="Z9" s="114"/>
      <c r="AA9" s="114"/>
      <c r="AB9" s="114"/>
      <c r="AC9" s="114"/>
      <c r="AD9" s="114"/>
      <c r="AE9" s="115"/>
      <c r="AF9" s="115"/>
      <c r="AG9" s="115"/>
      <c r="AH9" s="115"/>
      <c r="AI9" s="115"/>
    </row>
    <row r="10" spans="1:35" s="28" customFormat="1" ht="18" customHeight="1" x14ac:dyDescent="0.2">
      <c r="A10" s="543" t="s">
        <v>96</v>
      </c>
      <c r="B10" s="544"/>
      <c r="C10" s="545"/>
      <c r="D10" s="546" t="s">
        <v>97</v>
      </c>
      <c r="E10" s="547"/>
      <c r="F10" s="547"/>
      <c r="G10" s="547"/>
      <c r="H10" s="547"/>
      <c r="I10" s="548"/>
      <c r="J10" s="27"/>
      <c r="K10" s="114"/>
      <c r="L10" s="456"/>
      <c r="M10" s="456"/>
      <c r="N10" s="456"/>
      <c r="O10" s="457"/>
      <c r="P10" s="457"/>
      <c r="Q10" s="457"/>
      <c r="R10" s="457"/>
      <c r="S10" s="457"/>
      <c r="T10" s="114"/>
      <c r="U10" s="114"/>
      <c r="V10" s="114"/>
      <c r="W10" s="114"/>
      <c r="X10" s="114"/>
      <c r="Y10" s="114"/>
      <c r="Z10" s="114"/>
      <c r="AA10" s="114"/>
      <c r="AB10" s="114"/>
      <c r="AC10" s="114"/>
      <c r="AD10" s="114"/>
      <c r="AE10" s="115"/>
      <c r="AF10" s="115"/>
      <c r="AG10" s="115"/>
      <c r="AH10" s="115"/>
      <c r="AI10" s="115"/>
    </row>
    <row r="11" spans="1:35" s="28" customFormat="1" ht="5.25" customHeight="1" x14ac:dyDescent="0.2">
      <c r="A11" s="31"/>
      <c r="B11" s="31"/>
      <c r="C11" s="31"/>
      <c r="D11" s="32"/>
      <c r="E11" s="32"/>
      <c r="F11" s="32"/>
      <c r="G11" s="32"/>
      <c r="H11" s="33"/>
      <c r="I11" s="33"/>
      <c r="J11" s="27"/>
      <c r="K11" s="114"/>
      <c r="L11" s="456"/>
      <c r="M11" s="456"/>
      <c r="N11" s="456"/>
      <c r="O11" s="457"/>
      <c r="P11" s="457"/>
      <c r="Q11" s="457"/>
      <c r="R11" s="457"/>
      <c r="S11" s="457"/>
      <c r="T11" s="114"/>
      <c r="U11" s="114"/>
      <c r="V11" s="114"/>
      <c r="W11" s="114"/>
      <c r="X11" s="114"/>
      <c r="Y11" s="114"/>
      <c r="Z11" s="114"/>
      <c r="AA11" s="114"/>
      <c r="AB11" s="114"/>
      <c r="AC11" s="114"/>
      <c r="AD11" s="114"/>
      <c r="AE11" s="115"/>
      <c r="AF11" s="115"/>
      <c r="AG11" s="115"/>
      <c r="AH11" s="115"/>
      <c r="AI11" s="115"/>
    </row>
    <row r="12" spans="1:35" s="28" customFormat="1" ht="18.75" customHeight="1" x14ac:dyDescent="0.2">
      <c r="A12" s="565" t="s">
        <v>250</v>
      </c>
      <c r="B12" s="566"/>
      <c r="C12" s="566"/>
      <c r="D12" s="566"/>
      <c r="E12" s="566"/>
      <c r="F12" s="566"/>
      <c r="G12" s="566"/>
      <c r="H12" s="566"/>
      <c r="I12" s="567"/>
      <c r="J12" s="27"/>
      <c r="K12" s="114"/>
      <c r="L12" s="456"/>
      <c r="M12" s="461"/>
      <c r="N12" s="456"/>
      <c r="O12" s="457"/>
      <c r="P12" s="457"/>
      <c r="Q12" s="457"/>
      <c r="R12" s="457"/>
      <c r="S12" s="457"/>
      <c r="T12" s="114"/>
      <c r="U12" s="114"/>
      <c r="V12" s="114"/>
      <c r="W12" s="114"/>
      <c r="X12" s="114"/>
      <c r="Y12" s="114"/>
      <c r="Z12" s="114"/>
      <c r="AA12" s="114"/>
      <c r="AB12" s="114"/>
      <c r="AC12" s="114"/>
      <c r="AD12" s="114"/>
      <c r="AE12" s="115"/>
      <c r="AF12" s="115"/>
      <c r="AG12" s="115"/>
      <c r="AH12" s="115"/>
      <c r="AI12" s="115"/>
    </row>
    <row r="13" spans="1:35" s="28" customFormat="1" ht="20.25" customHeight="1" x14ac:dyDescent="0.2">
      <c r="A13" s="561" t="s">
        <v>60</v>
      </c>
      <c r="B13" s="562"/>
      <c r="C13" s="562"/>
      <c r="D13" s="562"/>
      <c r="E13" s="562"/>
      <c r="F13" s="562"/>
      <c r="G13" s="562"/>
      <c r="H13" s="562"/>
      <c r="I13" s="563"/>
      <c r="J13" s="27"/>
      <c r="K13" s="114"/>
      <c r="L13" s="456"/>
      <c r="M13" s="456"/>
      <c r="N13" s="456"/>
      <c r="O13" s="457"/>
      <c r="P13" s="457"/>
      <c r="Q13" s="457"/>
      <c r="R13" s="457"/>
      <c r="S13" s="457"/>
      <c r="T13" s="114"/>
      <c r="U13" s="114"/>
      <c r="V13" s="114"/>
      <c r="W13" s="114"/>
      <c r="X13" s="114"/>
      <c r="Y13" s="114"/>
      <c r="Z13" s="114"/>
      <c r="AA13" s="114"/>
      <c r="AB13" s="114"/>
      <c r="AC13" s="114"/>
      <c r="AD13" s="114"/>
      <c r="AE13" s="115"/>
      <c r="AF13" s="115"/>
      <c r="AG13" s="115"/>
      <c r="AH13" s="115"/>
      <c r="AI13" s="115"/>
    </row>
    <row r="14" spans="1:35" s="28" customFormat="1" ht="243.75" customHeight="1" x14ac:dyDescent="0.2">
      <c r="A14" s="549" t="s">
        <v>510</v>
      </c>
      <c r="B14" s="550"/>
      <c r="C14" s="550"/>
      <c r="D14" s="550"/>
      <c r="E14" s="550"/>
      <c r="F14" s="550"/>
      <c r="G14" s="550"/>
      <c r="H14" s="550"/>
      <c r="I14" s="551"/>
      <c r="J14" s="163" t="s">
        <v>83</v>
      </c>
      <c r="L14" s="456"/>
      <c r="M14" s="456"/>
      <c r="N14" s="456"/>
      <c r="O14" s="458"/>
      <c r="P14" s="457"/>
      <c r="Q14" s="457"/>
      <c r="R14" s="457"/>
      <c r="S14" s="457"/>
      <c r="T14" s="114"/>
      <c r="U14" s="114"/>
      <c r="V14" s="114"/>
      <c r="W14" s="114"/>
      <c r="X14" s="114"/>
      <c r="Y14" s="114"/>
      <c r="Z14" s="114"/>
      <c r="AA14" s="114"/>
      <c r="AB14" s="114"/>
      <c r="AC14" s="114"/>
      <c r="AD14" s="114"/>
      <c r="AE14" s="115"/>
      <c r="AF14" s="115"/>
      <c r="AG14" s="115"/>
      <c r="AH14" s="115"/>
      <c r="AI14" s="115"/>
    </row>
    <row r="15" spans="1:35" s="28" customFormat="1" ht="20.25" customHeight="1" x14ac:dyDescent="0.2">
      <c r="A15" s="552" t="s">
        <v>653</v>
      </c>
      <c r="B15" s="553"/>
      <c r="C15" s="553"/>
      <c r="D15" s="553"/>
      <c r="E15" s="553"/>
      <c r="F15" s="553"/>
      <c r="G15" s="553"/>
      <c r="H15" s="553"/>
      <c r="I15" s="554"/>
      <c r="J15" s="27"/>
      <c r="K15" s="114"/>
      <c r="L15" s="463" t="s">
        <v>32</v>
      </c>
      <c r="M15" s="458"/>
      <c r="N15" s="456"/>
      <c r="O15" s="458"/>
      <c r="P15" s="457"/>
      <c r="Q15" s="457"/>
      <c r="R15" s="457"/>
      <c r="S15" s="457"/>
      <c r="T15" s="114"/>
      <c r="U15" s="114"/>
      <c r="V15" s="114"/>
      <c r="W15" s="114"/>
      <c r="X15" s="114"/>
      <c r="Y15" s="114"/>
      <c r="Z15" s="114"/>
      <c r="AA15" s="114"/>
      <c r="AB15" s="114"/>
      <c r="AC15" s="114"/>
      <c r="AD15" s="114"/>
      <c r="AE15" s="115"/>
      <c r="AF15" s="115"/>
      <c r="AG15" s="115"/>
      <c r="AH15" s="115"/>
      <c r="AI15" s="115"/>
    </row>
    <row r="16" spans="1:35" s="28" customFormat="1" ht="20.25" customHeight="1" x14ac:dyDescent="0.2">
      <c r="A16" s="555"/>
      <c r="B16" s="556"/>
      <c r="C16" s="556"/>
      <c r="D16" s="556"/>
      <c r="E16" s="556"/>
      <c r="F16" s="556"/>
      <c r="G16" s="556"/>
      <c r="H16" s="556"/>
      <c r="I16" s="557"/>
      <c r="J16" s="27"/>
      <c r="K16" s="114"/>
      <c r="L16" s="464" t="s">
        <v>26</v>
      </c>
      <c r="M16" s="465"/>
      <c r="N16" s="456"/>
      <c r="O16" s="458"/>
      <c r="P16" s="457"/>
      <c r="Q16" s="457"/>
      <c r="R16" s="457"/>
      <c r="S16" s="457"/>
      <c r="T16" s="114"/>
      <c r="U16" s="114"/>
      <c r="V16" s="114"/>
      <c r="W16" s="114"/>
      <c r="X16" s="114"/>
      <c r="Y16" s="114"/>
      <c r="Z16" s="114"/>
      <c r="AA16" s="114"/>
      <c r="AB16" s="114"/>
      <c r="AC16" s="114"/>
      <c r="AD16" s="114"/>
      <c r="AE16" s="115"/>
      <c r="AF16" s="115"/>
      <c r="AG16" s="115"/>
      <c r="AH16" s="115"/>
      <c r="AI16" s="115"/>
    </row>
    <row r="17" spans="1:35" s="28" customFormat="1" ht="10.5" customHeight="1" x14ac:dyDescent="0.2">
      <c r="A17" s="558" t="s">
        <v>68</v>
      </c>
      <c r="B17" s="559"/>
      <c r="C17" s="559"/>
      <c r="D17" s="164"/>
      <c r="E17" s="164"/>
      <c r="F17" s="164"/>
      <c r="G17" s="164"/>
      <c r="H17" s="164"/>
      <c r="I17" s="165"/>
      <c r="J17" s="27"/>
      <c r="K17" s="114"/>
      <c r="L17" s="465" t="s">
        <v>38</v>
      </c>
      <c r="M17" s="465"/>
      <c r="N17" s="456"/>
      <c r="O17" s="458"/>
      <c r="P17" s="457"/>
      <c r="Q17" s="457"/>
      <c r="R17" s="457"/>
      <c r="S17" s="457"/>
      <c r="T17" s="114"/>
      <c r="U17" s="114"/>
      <c r="V17" s="114"/>
      <c r="W17" s="114"/>
      <c r="X17" s="114"/>
      <c r="Y17" s="114"/>
      <c r="Z17" s="114"/>
      <c r="AA17" s="114"/>
      <c r="AB17" s="114"/>
      <c r="AC17" s="114"/>
      <c r="AD17" s="114"/>
      <c r="AE17" s="115"/>
      <c r="AF17" s="115"/>
      <c r="AG17" s="115"/>
      <c r="AH17" s="115"/>
      <c r="AI17" s="115"/>
    </row>
    <row r="18" spans="1:35" s="28" customFormat="1" ht="42" customHeight="1" x14ac:dyDescent="0.2">
      <c r="A18" s="535" t="s">
        <v>79</v>
      </c>
      <c r="B18" s="528"/>
      <c r="C18" s="528"/>
      <c r="D18" s="536"/>
      <c r="E18" s="527" t="s">
        <v>70</v>
      </c>
      <c r="F18" s="528"/>
      <c r="G18" s="528"/>
      <c r="H18" s="528"/>
      <c r="I18" s="529"/>
      <c r="J18" s="27"/>
      <c r="K18" s="114"/>
      <c r="L18" s="466" t="s">
        <v>30</v>
      </c>
      <c r="M18" s="467" t="s">
        <v>644</v>
      </c>
      <c r="N18" s="456"/>
      <c r="O18" s="458"/>
      <c r="P18" s="457"/>
      <c r="Q18" s="457"/>
      <c r="R18" s="457"/>
      <c r="S18" s="457"/>
      <c r="T18" s="114"/>
      <c r="U18" s="114"/>
      <c r="V18" s="114"/>
      <c r="W18" s="114"/>
      <c r="X18" s="114"/>
      <c r="Y18" s="114"/>
      <c r="Z18" s="114"/>
      <c r="AA18" s="114"/>
      <c r="AB18" s="114"/>
      <c r="AC18" s="114"/>
      <c r="AD18" s="114"/>
      <c r="AE18" s="115"/>
      <c r="AF18" s="115"/>
      <c r="AG18" s="115"/>
      <c r="AH18" s="115"/>
      <c r="AI18" s="115"/>
    </row>
    <row r="19" spans="1:35" s="28" customFormat="1" ht="42" customHeight="1" x14ac:dyDescent="0.2">
      <c r="A19" s="525" t="s">
        <v>80</v>
      </c>
      <c r="B19" s="526"/>
      <c r="C19" s="4" t="s">
        <v>81</v>
      </c>
      <c r="D19" s="9" t="s">
        <v>82</v>
      </c>
      <c r="E19" s="11" t="s">
        <v>44</v>
      </c>
      <c r="F19" s="5" t="s">
        <v>45</v>
      </c>
      <c r="G19" s="5" t="s">
        <v>62</v>
      </c>
      <c r="H19" s="520" t="s">
        <v>63</v>
      </c>
      <c r="I19" s="521"/>
      <c r="J19" s="27"/>
      <c r="K19" s="114"/>
      <c r="L19" s="468" t="str">
        <f>C19</f>
        <v>Choix de 
VÉRACITÉ</v>
      </c>
      <c r="M19" s="469">
        <v>1</v>
      </c>
      <c r="N19" s="456"/>
      <c r="O19" s="458"/>
      <c r="P19" s="457"/>
      <c r="Q19" s="457"/>
      <c r="R19" s="457"/>
      <c r="S19" s="457"/>
      <c r="T19" s="114"/>
      <c r="U19" s="114"/>
      <c r="V19" s="114"/>
      <c r="W19" s="114"/>
      <c r="X19" s="114"/>
      <c r="Y19" s="114"/>
      <c r="Z19" s="114"/>
      <c r="AA19" s="114"/>
      <c r="AB19" s="114"/>
      <c r="AC19" s="114"/>
      <c r="AD19" s="114"/>
      <c r="AE19" s="115"/>
      <c r="AF19" s="115"/>
      <c r="AG19" s="115"/>
      <c r="AH19" s="115"/>
      <c r="AI19" s="115"/>
    </row>
    <row r="20" spans="1:35" s="28" customFormat="1" ht="47.25" customHeight="1" x14ac:dyDescent="0.2">
      <c r="A20" s="518" t="s">
        <v>88</v>
      </c>
      <c r="B20" s="519"/>
      <c r="C20" s="8" t="s">
        <v>84</v>
      </c>
      <c r="D20" s="10">
        <v>1E-3</v>
      </c>
      <c r="E20" s="12">
        <v>0</v>
      </c>
      <c r="F20" s="6">
        <f>E21-0.01</f>
        <v>9.0000000000000011E-2</v>
      </c>
      <c r="G20" s="7" t="s">
        <v>6</v>
      </c>
      <c r="H20" s="522" t="s">
        <v>64</v>
      </c>
      <c r="I20" s="523"/>
      <c r="J20" s="27"/>
      <c r="K20" s="114"/>
      <c r="L20" s="470" t="str">
        <f>C20</f>
        <v>Non - Conforme</v>
      </c>
      <c r="M20" s="469">
        <v>2</v>
      </c>
      <c r="N20" s="456"/>
      <c r="O20" s="458"/>
      <c r="P20" s="457"/>
      <c r="Q20" s="457"/>
      <c r="R20" s="457"/>
      <c r="S20" s="457"/>
      <c r="T20" s="114"/>
      <c r="U20" s="114"/>
      <c r="V20" s="114"/>
      <c r="W20" s="114"/>
      <c r="X20" s="114"/>
      <c r="Y20" s="114"/>
      <c r="Z20" s="114"/>
      <c r="AA20" s="114"/>
      <c r="AB20" s="114"/>
      <c r="AC20" s="114"/>
      <c r="AD20" s="114"/>
      <c r="AE20" s="115"/>
      <c r="AF20" s="115"/>
      <c r="AG20" s="115"/>
      <c r="AH20" s="115"/>
      <c r="AI20" s="115"/>
    </row>
    <row r="21" spans="1:35" s="28" customFormat="1" ht="50.25" customHeight="1" x14ac:dyDescent="0.2">
      <c r="A21" s="518" t="s">
        <v>89</v>
      </c>
      <c r="B21" s="519"/>
      <c r="C21" s="8" t="s">
        <v>85</v>
      </c>
      <c r="D21" s="10">
        <f>(E21+F21)/2</f>
        <v>0.29499999999999998</v>
      </c>
      <c r="E21" s="13">
        <v>0.1</v>
      </c>
      <c r="F21" s="6">
        <f>E22-0.01</f>
        <v>0.49</v>
      </c>
      <c r="G21" s="8" t="s">
        <v>50</v>
      </c>
      <c r="H21" s="522" t="s">
        <v>65</v>
      </c>
      <c r="I21" s="523"/>
      <c r="J21" s="27"/>
      <c r="K21" s="114"/>
      <c r="L21" s="470" t="s">
        <v>85</v>
      </c>
      <c r="M21" s="469">
        <v>3</v>
      </c>
      <c r="N21" s="456"/>
      <c r="O21" s="458"/>
      <c r="P21" s="457"/>
      <c r="Q21" s="457"/>
      <c r="R21" s="457"/>
      <c r="S21" s="457"/>
      <c r="T21" s="114"/>
      <c r="U21" s="114"/>
      <c r="V21" s="114"/>
      <c r="W21" s="114"/>
      <c r="X21" s="114"/>
      <c r="Y21" s="114"/>
      <c r="Z21" s="114"/>
      <c r="AA21" s="114"/>
      <c r="AB21" s="114"/>
      <c r="AC21" s="114"/>
      <c r="AD21" s="114"/>
      <c r="AE21" s="115"/>
      <c r="AF21" s="115"/>
      <c r="AG21" s="115"/>
      <c r="AH21" s="115"/>
      <c r="AI21" s="115"/>
    </row>
    <row r="22" spans="1:35" s="28" customFormat="1" ht="45" customHeight="1" x14ac:dyDescent="0.2">
      <c r="A22" s="518" t="s">
        <v>90</v>
      </c>
      <c r="B22" s="519"/>
      <c r="C22" s="8" t="s">
        <v>86</v>
      </c>
      <c r="D22" s="10">
        <f>(E22+F22)/2</f>
        <v>0.69500000000000006</v>
      </c>
      <c r="E22" s="13">
        <v>0.5</v>
      </c>
      <c r="F22" s="6">
        <f>E23-0.01</f>
        <v>0.89</v>
      </c>
      <c r="G22" s="8" t="s">
        <v>51</v>
      </c>
      <c r="H22" s="522" t="s">
        <v>66</v>
      </c>
      <c r="I22" s="523"/>
      <c r="J22" s="27"/>
      <c r="K22" s="114"/>
      <c r="L22" s="468" t="str">
        <f>C22</f>
        <v>Conforme</v>
      </c>
      <c r="M22" s="469">
        <v>4</v>
      </c>
      <c r="N22" s="458"/>
      <c r="O22" s="458"/>
      <c r="P22" s="457"/>
      <c r="Q22" s="457"/>
      <c r="R22" s="457"/>
      <c r="S22" s="457"/>
      <c r="T22" s="114"/>
      <c r="U22" s="114"/>
      <c r="V22" s="114"/>
      <c r="W22" s="114"/>
      <c r="X22" s="114"/>
      <c r="Y22" s="114"/>
      <c r="Z22" s="114"/>
      <c r="AA22" s="114"/>
      <c r="AB22" s="114"/>
      <c r="AC22" s="114"/>
      <c r="AD22" s="114"/>
      <c r="AE22" s="115"/>
      <c r="AF22" s="115"/>
      <c r="AG22" s="115"/>
      <c r="AH22" s="115"/>
      <c r="AI22" s="115"/>
    </row>
    <row r="23" spans="1:35" s="28" customFormat="1" ht="49.5" customHeight="1" x14ac:dyDescent="0.2">
      <c r="A23" s="518" t="s">
        <v>91</v>
      </c>
      <c r="B23" s="519"/>
      <c r="C23" s="8" t="s">
        <v>87</v>
      </c>
      <c r="D23" s="10">
        <v>1</v>
      </c>
      <c r="E23" s="13">
        <v>0.9</v>
      </c>
      <c r="F23" s="6">
        <v>1</v>
      </c>
      <c r="G23" s="8" t="s">
        <v>52</v>
      </c>
      <c r="H23" s="522" t="s">
        <v>67</v>
      </c>
      <c r="I23" s="523"/>
      <c r="J23" s="27"/>
      <c r="K23" s="114"/>
      <c r="L23" s="468" t="str">
        <f>C23</f>
        <v>Optimisé</v>
      </c>
      <c r="M23" s="469">
        <v>5</v>
      </c>
      <c r="N23" s="458"/>
      <c r="O23" s="458"/>
      <c r="P23" s="457"/>
      <c r="Q23" s="457"/>
      <c r="R23" s="457"/>
      <c r="S23" s="457"/>
      <c r="T23" s="114"/>
      <c r="U23" s="114"/>
      <c r="V23" s="114"/>
      <c r="W23" s="114"/>
      <c r="X23" s="114"/>
      <c r="Y23" s="114"/>
      <c r="Z23" s="114"/>
      <c r="AA23" s="114"/>
      <c r="AB23" s="114"/>
      <c r="AC23" s="114"/>
      <c r="AD23" s="114"/>
      <c r="AE23" s="115"/>
      <c r="AF23" s="115"/>
      <c r="AG23" s="115"/>
      <c r="AH23" s="115"/>
      <c r="AI23" s="115"/>
    </row>
    <row r="24" spans="1:35" s="28" customFormat="1" ht="42" customHeight="1" x14ac:dyDescent="0.2">
      <c r="A24" s="518" t="s">
        <v>244</v>
      </c>
      <c r="B24" s="519"/>
      <c r="C24" s="8" t="s">
        <v>245</v>
      </c>
      <c r="D24" s="10">
        <v>0</v>
      </c>
      <c r="E24" s="161" t="s">
        <v>78</v>
      </c>
      <c r="F24" s="6">
        <v>0</v>
      </c>
      <c r="G24" s="8" t="s">
        <v>69</v>
      </c>
      <c r="H24" s="522" t="s">
        <v>244</v>
      </c>
      <c r="I24" s="523"/>
      <c r="J24" s="27"/>
      <c r="K24" s="114"/>
      <c r="L24" s="468" t="str">
        <f>C24</f>
        <v>Non applicable</v>
      </c>
      <c r="M24" s="469">
        <v>6</v>
      </c>
      <c r="N24" s="458"/>
      <c r="O24" s="458"/>
      <c r="P24" s="457"/>
      <c r="Q24" s="457"/>
      <c r="R24" s="457"/>
      <c r="S24" s="457"/>
      <c r="T24" s="114"/>
      <c r="U24" s="114"/>
      <c r="V24" s="114"/>
      <c r="W24" s="114"/>
      <c r="X24" s="114"/>
      <c r="Y24" s="114"/>
      <c r="Z24" s="114"/>
      <c r="AA24" s="114"/>
      <c r="AB24" s="114"/>
      <c r="AC24" s="114"/>
      <c r="AD24" s="114"/>
      <c r="AE24" s="115"/>
      <c r="AF24" s="115"/>
      <c r="AG24" s="115"/>
      <c r="AH24" s="115"/>
      <c r="AI24" s="115"/>
    </row>
    <row r="25" spans="1:35" s="28" customFormat="1" ht="17.100000000000001" customHeight="1" x14ac:dyDescent="0.2">
      <c r="A25" s="524" t="s">
        <v>39</v>
      </c>
      <c r="B25" s="524"/>
      <c r="C25" s="524"/>
      <c r="D25" s="524"/>
      <c r="E25" s="524"/>
      <c r="F25" s="524"/>
      <c r="G25" s="524"/>
      <c r="H25" s="524"/>
      <c r="I25" s="524"/>
      <c r="J25" s="27"/>
      <c r="K25" s="114"/>
      <c r="L25" s="471"/>
      <c r="M25" s="472"/>
      <c r="N25" s="458"/>
      <c r="O25" s="458"/>
      <c r="P25" s="457"/>
      <c r="Q25" s="457"/>
      <c r="R25" s="457"/>
      <c r="S25" s="457"/>
      <c r="T25" s="114"/>
      <c r="U25" s="114"/>
      <c r="V25" s="114"/>
      <c r="W25" s="114"/>
      <c r="X25" s="114"/>
      <c r="Y25" s="114"/>
      <c r="Z25" s="114"/>
      <c r="AA25" s="114"/>
      <c r="AB25" s="114"/>
      <c r="AC25" s="114"/>
      <c r="AD25" s="114"/>
      <c r="AE25" s="115"/>
      <c r="AF25" s="115"/>
      <c r="AG25" s="115"/>
      <c r="AH25" s="115"/>
      <c r="AI25" s="115"/>
    </row>
    <row r="26" spans="1:35" s="28" customFormat="1" ht="45" customHeight="1" x14ac:dyDescent="0.2">
      <c r="A26" s="517" t="s">
        <v>639</v>
      </c>
      <c r="B26" s="517"/>
      <c r="C26" s="517"/>
      <c r="D26" s="517"/>
      <c r="E26" s="517"/>
      <c r="F26" s="517"/>
      <c r="G26" s="517"/>
      <c r="H26" s="517"/>
      <c r="I26" s="517"/>
      <c r="J26" s="27"/>
      <c r="K26" s="114"/>
      <c r="L26" s="458"/>
      <c r="M26" s="458"/>
      <c r="N26" s="458"/>
      <c r="O26" s="458"/>
      <c r="P26" s="457"/>
      <c r="Q26" s="457"/>
      <c r="R26" s="457"/>
      <c r="S26" s="457"/>
      <c r="T26" s="114"/>
      <c r="U26" s="114"/>
      <c r="V26" s="114"/>
      <c r="W26" s="114"/>
      <c r="X26" s="114"/>
      <c r="Y26" s="114"/>
      <c r="Z26" s="114"/>
      <c r="AA26" s="114"/>
      <c r="AB26" s="114"/>
      <c r="AC26" s="114"/>
      <c r="AD26" s="114"/>
      <c r="AE26" s="115"/>
      <c r="AF26" s="115"/>
      <c r="AG26" s="115"/>
      <c r="AH26" s="115"/>
      <c r="AI26" s="115"/>
    </row>
    <row r="27" spans="1:35" s="28" customFormat="1" ht="20.100000000000001" customHeight="1" x14ac:dyDescent="0.2">
      <c r="A27" s="29"/>
      <c r="B27" s="30"/>
      <c r="C27" s="30"/>
      <c r="D27" s="30"/>
      <c r="E27" s="30"/>
      <c r="F27" s="30"/>
      <c r="G27" s="30"/>
      <c r="H27" s="30"/>
      <c r="I27" s="30"/>
      <c r="J27" s="27"/>
      <c r="K27" s="114"/>
      <c r="L27" s="458"/>
      <c r="M27" s="458"/>
      <c r="N27" s="458"/>
      <c r="O27" s="457"/>
      <c r="P27" s="457"/>
      <c r="Q27" s="457"/>
      <c r="R27" s="457"/>
      <c r="S27" s="457"/>
      <c r="T27" s="114"/>
      <c r="U27" s="114"/>
      <c r="V27" s="114"/>
      <c r="W27" s="114"/>
      <c r="X27" s="114"/>
      <c r="Y27" s="114"/>
      <c r="Z27" s="114"/>
      <c r="AA27" s="114"/>
      <c r="AB27" s="114"/>
      <c r="AC27" s="114"/>
      <c r="AD27" s="114"/>
      <c r="AE27" s="115"/>
      <c r="AF27" s="115"/>
      <c r="AG27" s="115"/>
      <c r="AH27" s="115"/>
      <c r="AI27" s="115"/>
    </row>
    <row r="28" spans="1:35" ht="20.100000000000001" customHeight="1" x14ac:dyDescent="0.2"/>
    <row r="29" spans="1:35" ht="19.5" customHeight="1" x14ac:dyDescent="0.2"/>
    <row r="30" spans="1:35" ht="9.75" customHeight="1" x14ac:dyDescent="0.2"/>
    <row r="31" spans="1:35" ht="42" customHeight="1" x14ac:dyDescent="0.2"/>
    <row r="32" spans="1:35" ht="42" customHeight="1" x14ac:dyDescent="0.2"/>
    <row r="33" spans="12:12" ht="42" customHeight="1" x14ac:dyDescent="0.2"/>
    <row r="34" spans="12:12" ht="42" customHeight="1" x14ac:dyDescent="0.2"/>
    <row r="35" spans="12:12" ht="42" customHeight="1" x14ac:dyDescent="0.2"/>
    <row r="36" spans="12:12" ht="42" customHeight="1" x14ac:dyDescent="0.2"/>
    <row r="37" spans="12:12" x14ac:dyDescent="0.2">
      <c r="L37" s="468"/>
    </row>
    <row r="44" spans="12:12" ht="14.1" customHeight="1" x14ac:dyDescent="0.2"/>
  </sheetData>
  <mergeCells count="33">
    <mergeCell ref="B2:I2"/>
    <mergeCell ref="A13:I13"/>
    <mergeCell ref="A6:I6"/>
    <mergeCell ref="A12:I12"/>
    <mergeCell ref="A7:C7"/>
    <mergeCell ref="D7:I7"/>
    <mergeCell ref="A3:I5"/>
    <mergeCell ref="E18:I18"/>
    <mergeCell ref="D8:I8"/>
    <mergeCell ref="H9:I9"/>
    <mergeCell ref="A18:D18"/>
    <mergeCell ref="A8:C8"/>
    <mergeCell ref="A9:C9"/>
    <mergeCell ref="D9:G9"/>
    <mergeCell ref="A10:C10"/>
    <mergeCell ref="D10:I10"/>
    <mergeCell ref="A14:I14"/>
    <mergeCell ref="A15:I16"/>
    <mergeCell ref="A17:C17"/>
    <mergeCell ref="A26:I26"/>
    <mergeCell ref="A20:B20"/>
    <mergeCell ref="H19:I19"/>
    <mergeCell ref="H20:I20"/>
    <mergeCell ref="A25:I25"/>
    <mergeCell ref="A23:B23"/>
    <mergeCell ref="A22:B22"/>
    <mergeCell ref="A21:B21"/>
    <mergeCell ref="H21:I21"/>
    <mergeCell ref="H22:I22"/>
    <mergeCell ref="H23:I23"/>
    <mergeCell ref="A24:B24"/>
    <mergeCell ref="A19:B19"/>
    <mergeCell ref="H24:I24"/>
  </mergeCells>
  <phoneticPr fontId="4" type="noConversion"/>
  <dataValidations xWindow="766" yWindow="434" count="6">
    <dataValidation allowBlank="1" showInputMessage="1" showErrorMessage="1" prompt="Indiquez le nom de l'établissement concerné par l'autodiagnostic" sqref="D7:I7"/>
    <dataValidation allowBlank="1" showInputMessage="1" showErrorMessage="1" prompt="Indiquez l'email" sqref="D9 D11"/>
    <dataValidation allowBlank="1" showInputMessage="1" showErrorMessage="1" prompt="Indiquez le téléphone" sqref="H9 H11"/>
    <dataValidation allowBlank="1" showInputMessage="1" showErrorMessage="1" prompt="Vous pouvez modifier cette limite. Vous devrez entrer un nombre entre 0% et 100%. Attention à la cohérence des valeurs." sqref="E21:E23"/>
    <dataValidation allowBlank="1" showInputMessage="1" showErrorMessage="1" prompt="Indiquez les NOM et Prénom du Responsable Qualité" sqref="D8:I8"/>
    <dataValidation allowBlank="1" showInputMessage="1" showErrorMessage="1" prompt="Écrivez le nom de votre projet" sqref="D10:I10"/>
  </dataValidations>
  <printOptions horizontalCentered="1" verticalCentered="1"/>
  <pageMargins left="0.19685039370078741" right="0.19685039370078741" top="0.62992125984251968" bottom="0.35433070866141736" header="0.23622047244094491" footer="0.15748031496062992"/>
  <pageSetup paperSize="9" scale="83" orientation="portrait" r:id="rId1"/>
  <headerFooter alignWithMargins="0">
    <oddHeader xml:space="preserve">&amp;L&amp;"Arial Narrow,Normal"&amp;7 © UTC  - Master Qualité -  www.utc.fr/master-qualite 
&amp;C&amp;"Arial Narrow,Normal"&amp;8Onglet : &amp;A&amp;R&amp;"Arial Narrow,Normal"&amp;7Fichier : &amp;F
</oddHeader>
    <oddFooter>&amp;L&amp;"Arial Narrow,Normal"&amp;8Version de Juin 2018&amp;C&amp;"Arial Narrow,Normal"&amp;8©2018: Master 2 Qualité et Performance dans les Organisations&amp;R&amp;"Arial Narrow,Normal"&amp;8page n° &amp;P/&amp;N</oddFooter>
  </headerFooter>
  <colBreaks count="1" manualBreakCount="1">
    <brk id="1" max="1048575" man="1"/>
  </colBreaks>
  <drawing r:id="rId2"/>
  <legacyDrawing r:id="rId3"/>
  <controls>
    <mc:AlternateContent xmlns:mc="http://schemas.openxmlformats.org/markup-compatibility/2006">
      <mc:Choice Requires="x14">
        <control shapeId="1062" r:id="rId4" name="CommandButton2">
          <controlPr defaultSize="0" autoLine="0" r:id="rId5">
            <anchor moveWithCells="1">
              <from>
                <xdr:col>9</xdr:col>
                <xdr:colOff>238125</xdr:colOff>
                <xdr:row>6</xdr:row>
                <xdr:rowOff>133350</xdr:rowOff>
              </from>
              <to>
                <xdr:col>9</xdr:col>
                <xdr:colOff>1771650</xdr:colOff>
                <xdr:row>8</xdr:row>
                <xdr:rowOff>19050</xdr:rowOff>
              </to>
            </anchor>
          </controlPr>
        </control>
      </mc:Choice>
      <mc:Fallback>
        <control shapeId="1062" r:id="rId4" name="CommandButton2"/>
      </mc:Fallback>
    </mc:AlternateContent>
    <mc:AlternateContent xmlns:mc="http://schemas.openxmlformats.org/markup-compatibility/2006">
      <mc:Choice Requires="x14">
        <control shapeId="1063" r:id="rId6" name="CommandButton3">
          <controlPr defaultSize="0" autoLine="0" r:id="rId7">
            <anchor moveWithCells="1">
              <from>
                <xdr:col>9</xdr:col>
                <xdr:colOff>238125</xdr:colOff>
                <xdr:row>8</xdr:row>
                <xdr:rowOff>76200</xdr:rowOff>
              </from>
              <to>
                <xdr:col>9</xdr:col>
                <xdr:colOff>1790700</xdr:colOff>
                <xdr:row>9</xdr:row>
                <xdr:rowOff>190500</xdr:rowOff>
              </to>
            </anchor>
          </controlPr>
        </control>
      </mc:Choice>
      <mc:Fallback>
        <control shapeId="1063" r:id="rId6" name="CommandButton3"/>
      </mc:Fallback>
    </mc:AlternateContent>
    <mc:AlternateContent xmlns:mc="http://schemas.openxmlformats.org/markup-compatibility/2006">
      <mc:Choice Requires="x14">
        <control shapeId="1066" r:id="rId8" name="CommandButton5">
          <controlPr defaultSize="0" autoLine="0" r:id="rId9">
            <anchor moveWithCells="1">
              <from>
                <xdr:col>9</xdr:col>
                <xdr:colOff>238125</xdr:colOff>
                <xdr:row>3</xdr:row>
                <xdr:rowOff>19050</xdr:rowOff>
              </from>
              <to>
                <xdr:col>9</xdr:col>
                <xdr:colOff>1771650</xdr:colOff>
                <xdr:row>4</xdr:row>
                <xdr:rowOff>66675</xdr:rowOff>
              </to>
            </anchor>
          </controlPr>
        </control>
      </mc:Choice>
      <mc:Fallback>
        <control shapeId="1066" r:id="rId8" name="CommandButton5"/>
      </mc:Fallback>
    </mc:AlternateContent>
    <mc:AlternateContent xmlns:mc="http://schemas.openxmlformats.org/markup-compatibility/2006">
      <mc:Choice Requires="x14">
        <control shapeId="1068" r:id="rId10" name="CommandButton6">
          <controlPr defaultSize="0" autoLine="0" r:id="rId11">
            <anchor moveWithCells="1">
              <from>
                <xdr:col>9</xdr:col>
                <xdr:colOff>238125</xdr:colOff>
                <xdr:row>4</xdr:row>
                <xdr:rowOff>123825</xdr:rowOff>
              </from>
              <to>
                <xdr:col>9</xdr:col>
                <xdr:colOff>1771650</xdr:colOff>
                <xdr:row>6</xdr:row>
                <xdr:rowOff>76200</xdr:rowOff>
              </to>
            </anchor>
          </controlPr>
        </control>
      </mc:Choice>
      <mc:Fallback>
        <control shapeId="1068" r:id="rId10" name="CommandButton6"/>
      </mc:Fallback>
    </mc:AlternateContent>
    <mc:AlternateContent xmlns:mc="http://schemas.openxmlformats.org/markup-compatibility/2006">
      <mc:Choice Requires="x14">
        <control shapeId="1070" r:id="rId12" name="CommandButton1">
          <controlPr defaultSize="0" autoLine="0" r:id="rId13">
            <anchor moveWithCells="1">
              <from>
                <xdr:col>9</xdr:col>
                <xdr:colOff>238125</xdr:colOff>
                <xdr:row>2</xdr:row>
                <xdr:rowOff>28575</xdr:rowOff>
              </from>
              <to>
                <xdr:col>9</xdr:col>
                <xdr:colOff>1790700</xdr:colOff>
                <xdr:row>2</xdr:row>
                <xdr:rowOff>361950</xdr:rowOff>
              </to>
            </anchor>
          </controlPr>
        </control>
      </mc:Choice>
      <mc:Fallback>
        <control shapeId="1070" r:id="rId12" name="CommandButton1"/>
      </mc:Fallback>
    </mc:AlternateContent>
    <mc:AlternateContent xmlns:mc="http://schemas.openxmlformats.org/markup-compatibility/2006">
      <mc:Choice Requires="x14">
        <control shapeId="1067" r:id="rId14" name="Group Box 43">
          <controlPr defaultSize="0" autoFill="0" autoPict="0">
            <anchor moveWithCells="1">
              <from>
                <xdr:col>9</xdr:col>
                <xdr:colOff>142875</xdr:colOff>
                <xdr:row>1</xdr:row>
                <xdr:rowOff>9525</xdr:rowOff>
              </from>
              <to>
                <xdr:col>9</xdr:col>
                <xdr:colOff>1838325</xdr:colOff>
                <xdr:row>13</xdr:row>
                <xdr:rowOff>47625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7" tint="-0.499984740745262"/>
  </sheetPr>
  <dimension ref="A1:Z64"/>
  <sheetViews>
    <sheetView showGridLines="0" topLeftCell="A10" zoomScaleNormal="100" zoomScaleSheetLayoutView="80" workbookViewId="0">
      <selection activeCell="I15" sqref="I15"/>
    </sheetView>
  </sheetViews>
  <sheetFormatPr baseColWidth="10" defaultRowHeight="15" x14ac:dyDescent="0.25"/>
  <cols>
    <col min="1" max="1" width="12" customWidth="1"/>
    <col min="2" max="2" width="18" customWidth="1"/>
    <col min="3" max="3" width="18.42578125" customWidth="1"/>
    <col min="4" max="4" width="14.85546875" customWidth="1"/>
    <col min="5" max="5" width="18" customWidth="1"/>
    <col min="6" max="6" width="26.5703125" customWidth="1"/>
    <col min="7" max="7" width="16.85546875" customWidth="1"/>
    <col min="8" max="8" width="5" customWidth="1"/>
    <col min="9" max="9" width="19.140625" customWidth="1"/>
    <col min="10" max="10" width="4.7109375" customWidth="1"/>
    <col min="11" max="11" width="8.28515625" customWidth="1"/>
    <col min="12" max="21" width="4.7109375" customWidth="1"/>
  </cols>
  <sheetData>
    <row r="1" spans="1:23" x14ac:dyDescent="0.25">
      <c r="A1" s="19" t="s">
        <v>328</v>
      </c>
      <c r="B1" s="20"/>
      <c r="C1" s="20"/>
      <c r="D1" s="21"/>
      <c r="E1" s="22"/>
      <c r="F1" s="20"/>
      <c r="G1" s="23"/>
      <c r="H1" s="24"/>
      <c r="K1" s="25" t="str">
        <f>Présentation!I1</f>
        <v>Enregistrement qualité :  A4 100% vertical</v>
      </c>
    </row>
    <row r="2" spans="1:23" ht="18" customHeight="1" x14ac:dyDescent="0.25">
      <c r="A2" s="573" t="str">
        <f>Présentation!A3</f>
        <v>QualAéro: La Qualité dans l'Aéronautique</v>
      </c>
      <c r="B2" s="573"/>
      <c r="C2" s="573"/>
      <c r="D2" s="573"/>
      <c r="E2" s="573"/>
      <c r="F2" s="573"/>
      <c r="G2" s="573"/>
      <c r="H2" s="573"/>
      <c r="I2" s="573"/>
      <c r="J2" s="573"/>
      <c r="K2" s="573"/>
    </row>
    <row r="3" spans="1:23" ht="18" customHeight="1" x14ac:dyDescent="0.25">
      <c r="A3" s="573"/>
      <c r="B3" s="573"/>
      <c r="C3" s="573"/>
      <c r="D3" s="573"/>
      <c r="E3" s="573"/>
      <c r="F3" s="573"/>
      <c r="G3" s="573"/>
      <c r="H3" s="573"/>
      <c r="I3" s="573"/>
      <c r="J3" s="573"/>
      <c r="K3" s="573"/>
    </row>
    <row r="4" spans="1:23" ht="12.75" customHeight="1" x14ac:dyDescent="0.25">
      <c r="A4" s="574" t="s">
        <v>637</v>
      </c>
      <c r="B4" s="574"/>
      <c r="C4" s="574"/>
      <c r="D4" s="574"/>
      <c r="E4" s="574"/>
      <c r="F4" s="574"/>
      <c r="G4" s="574"/>
      <c r="H4" s="574"/>
      <c r="I4" s="574"/>
      <c r="J4" s="574"/>
      <c r="K4" s="574"/>
    </row>
    <row r="5" spans="1:23" ht="9" customHeight="1" x14ac:dyDescent="0.25">
      <c r="A5" s="574"/>
      <c r="B5" s="574"/>
      <c r="C5" s="574"/>
      <c r="D5" s="574"/>
      <c r="E5" s="574"/>
      <c r="F5" s="574"/>
      <c r="G5" s="574"/>
      <c r="H5" s="574"/>
      <c r="I5" s="574"/>
      <c r="J5" s="574"/>
      <c r="K5" s="574"/>
    </row>
    <row r="6" spans="1:23" x14ac:dyDescent="0.25">
      <c r="A6" s="524" t="s">
        <v>59</v>
      </c>
      <c r="B6" s="564"/>
      <c r="C6" s="564"/>
      <c r="D6" s="564"/>
      <c r="E6" s="564"/>
      <c r="F6" s="564"/>
      <c r="G6" s="564"/>
      <c r="H6" s="564"/>
      <c r="I6" s="564"/>
    </row>
    <row r="7" spans="1:23" x14ac:dyDescent="0.25">
      <c r="A7" s="568" t="s">
        <v>0</v>
      </c>
      <c r="B7" s="569"/>
      <c r="C7" s="569"/>
      <c r="D7" s="570" t="s">
        <v>73</v>
      </c>
      <c r="E7" s="571"/>
      <c r="F7" s="571"/>
      <c r="G7" s="571"/>
      <c r="H7" s="571"/>
      <c r="I7" s="571"/>
      <c r="J7" s="571"/>
      <c r="K7" s="572"/>
    </row>
    <row r="8" spans="1:23" x14ac:dyDescent="0.25">
      <c r="A8" s="537" t="s">
        <v>94</v>
      </c>
      <c r="B8" s="538"/>
      <c r="C8" s="538"/>
      <c r="D8" s="530" t="s">
        <v>49</v>
      </c>
      <c r="E8" s="531"/>
      <c r="F8" s="531"/>
      <c r="G8" s="531"/>
      <c r="H8" s="531"/>
      <c r="I8" s="531"/>
      <c r="J8" s="531"/>
      <c r="K8" s="532"/>
    </row>
    <row r="9" spans="1:23" ht="15" customHeight="1" x14ac:dyDescent="0.25">
      <c r="A9" s="539" t="s">
        <v>95</v>
      </c>
      <c r="B9" s="540"/>
      <c r="C9" s="540"/>
      <c r="D9" s="541" t="s">
        <v>57</v>
      </c>
      <c r="E9" s="542"/>
      <c r="F9" s="542"/>
      <c r="G9" s="542"/>
      <c r="H9" s="533" t="s">
        <v>47</v>
      </c>
      <c r="I9" s="533"/>
      <c r="J9" s="533"/>
      <c r="K9" s="534"/>
    </row>
    <row r="10" spans="1:23" ht="15" customHeight="1" x14ac:dyDescent="0.25">
      <c r="A10" s="543" t="s">
        <v>96</v>
      </c>
      <c r="B10" s="544"/>
      <c r="C10" s="545"/>
      <c r="D10" s="546" t="s">
        <v>97</v>
      </c>
      <c r="E10" s="547"/>
      <c r="F10" s="547"/>
      <c r="G10" s="547"/>
      <c r="H10" s="547"/>
      <c r="I10" s="547"/>
      <c r="J10" s="547"/>
      <c r="K10" s="548"/>
    </row>
    <row r="11" spans="1:23" ht="15" customHeight="1" x14ac:dyDescent="0.25">
      <c r="A11" s="31"/>
      <c r="B11" s="31"/>
      <c r="C11" s="31"/>
      <c r="D11" s="32"/>
      <c r="E11" s="32"/>
      <c r="F11" s="32"/>
      <c r="G11" s="32"/>
      <c r="H11" s="33"/>
      <c r="I11" s="33"/>
    </row>
    <row r="12" spans="1:23" ht="15.75" x14ac:dyDescent="0.25">
      <c r="A12" s="575" t="s">
        <v>181</v>
      </c>
      <c r="B12" s="576"/>
      <c r="C12" s="576"/>
      <c r="D12" s="576"/>
      <c r="E12" s="576"/>
      <c r="F12" s="576"/>
      <c r="G12" s="576"/>
      <c r="H12" s="576"/>
      <c r="I12" s="576"/>
      <c r="J12" s="576"/>
      <c r="K12" s="576"/>
      <c r="W12" s="198"/>
    </row>
    <row r="13" spans="1:23" x14ac:dyDescent="0.25">
      <c r="A13" s="583" t="s">
        <v>182</v>
      </c>
      <c r="B13" s="583"/>
      <c r="C13" s="583"/>
      <c r="D13" s="583"/>
      <c r="E13" s="583"/>
      <c r="F13" s="583"/>
      <c r="G13" s="583"/>
      <c r="H13" s="583"/>
      <c r="I13" s="583"/>
      <c r="J13" s="583"/>
      <c r="K13" s="583"/>
      <c r="W13" s="198"/>
    </row>
    <row r="14" spans="1:23" ht="7.5" customHeight="1" thickBot="1" x14ac:dyDescent="0.3">
      <c r="A14" s="199"/>
      <c r="B14" s="199"/>
      <c r="C14" s="199"/>
      <c r="D14" s="199"/>
      <c r="E14" s="199"/>
      <c r="F14" s="199"/>
      <c r="G14" s="199"/>
      <c r="H14" s="199"/>
      <c r="I14" s="199"/>
    </row>
    <row r="15" spans="1:23" ht="15.75" thickBot="1" x14ac:dyDescent="0.3">
      <c r="B15" s="355" t="s">
        <v>183</v>
      </c>
      <c r="C15" s="355"/>
      <c r="D15" s="352"/>
      <c r="E15" s="353"/>
      <c r="F15" s="354"/>
      <c r="G15" s="326" t="s">
        <v>184</v>
      </c>
      <c r="H15" s="356"/>
      <c r="I15" s="367"/>
      <c r="J15" s="367"/>
      <c r="K15" s="357"/>
      <c r="W15" s="198"/>
    </row>
    <row r="16" spans="1:23" ht="7.5" customHeight="1" thickBot="1" x14ac:dyDescent="0.3">
      <c r="A16" s="199"/>
      <c r="B16" s="199"/>
      <c r="C16" s="199"/>
      <c r="D16" s="199"/>
      <c r="E16" s="199"/>
      <c r="F16" s="199"/>
      <c r="G16" s="199"/>
      <c r="H16" s="358"/>
      <c r="K16" s="359"/>
    </row>
    <row r="17" spans="1:26" ht="15.75" thickBot="1" x14ac:dyDescent="0.3">
      <c r="B17" s="355" t="s">
        <v>185</v>
      </c>
      <c r="C17" s="355"/>
      <c r="D17" s="352"/>
      <c r="E17" s="353"/>
      <c r="F17" s="354"/>
      <c r="G17" s="199"/>
      <c r="H17" s="360"/>
      <c r="I17" s="368"/>
      <c r="J17" s="368"/>
      <c r="K17" s="361"/>
    </row>
    <row r="18" spans="1:26" ht="6.75" customHeight="1" thickBot="1" x14ac:dyDescent="0.3">
      <c r="A18" s="199"/>
      <c r="B18" s="199"/>
      <c r="C18" s="199"/>
      <c r="D18" s="199"/>
      <c r="E18" s="199"/>
      <c r="F18" s="199"/>
      <c r="G18" s="199"/>
      <c r="H18" s="199"/>
      <c r="I18" s="199"/>
    </row>
    <row r="19" spans="1:26" ht="15.75" thickBot="1" x14ac:dyDescent="0.3">
      <c r="B19" s="355" t="s">
        <v>199</v>
      </c>
      <c r="C19" s="355"/>
      <c r="D19" s="352"/>
      <c r="E19" s="353"/>
      <c r="F19" s="354"/>
    </row>
    <row r="20" spans="1:26" ht="7.5" customHeight="1" x14ac:dyDescent="0.25">
      <c r="A20" s="200"/>
      <c r="B20" s="200"/>
      <c r="C20" s="200"/>
      <c r="D20" s="201"/>
      <c r="E20" s="202"/>
      <c r="F20" s="202"/>
      <c r="G20" s="202"/>
      <c r="H20" s="202"/>
      <c r="I20" s="202"/>
    </row>
    <row r="21" spans="1:26" x14ac:dyDescent="0.25">
      <c r="A21" s="583" t="s">
        <v>252</v>
      </c>
      <c r="B21" s="583"/>
      <c r="C21" s="583"/>
      <c r="D21" s="583"/>
      <c r="E21" s="583"/>
      <c r="F21" s="583"/>
      <c r="G21" s="583"/>
      <c r="H21" s="583"/>
      <c r="I21" s="583"/>
      <c r="J21" s="583"/>
      <c r="K21" s="583"/>
      <c r="X21" s="203"/>
    </row>
    <row r="22" spans="1:26" ht="7.5" customHeight="1" thickBot="1" x14ac:dyDescent="0.3">
      <c r="A22" s="204"/>
      <c r="B22" s="204"/>
      <c r="C22" s="204"/>
      <c r="D22" s="204"/>
      <c r="E22" s="204"/>
      <c r="F22" s="204"/>
      <c r="G22" s="204"/>
      <c r="H22" s="204"/>
      <c r="I22" s="204"/>
    </row>
    <row r="23" spans="1:26" ht="15.75" thickBot="1" x14ac:dyDescent="0.3">
      <c r="B23" s="355" t="s">
        <v>251</v>
      </c>
      <c r="C23" s="355"/>
      <c r="D23" s="352"/>
      <c r="E23" s="354"/>
      <c r="F23" s="365" t="s">
        <v>253</v>
      </c>
      <c r="H23" s="352"/>
      <c r="I23" s="354"/>
    </row>
    <row r="24" spans="1:26" ht="7.5" customHeight="1" thickBot="1" x14ac:dyDescent="0.3">
      <c r="A24" s="205"/>
      <c r="B24" s="205"/>
      <c r="C24" s="205"/>
      <c r="D24" s="205"/>
      <c r="E24" s="205"/>
      <c r="F24" s="205"/>
      <c r="G24" s="205"/>
      <c r="H24" s="205"/>
      <c r="I24" s="205"/>
    </row>
    <row r="25" spans="1:26" ht="15.75" thickBot="1" x14ac:dyDescent="0.3">
      <c r="B25" s="355" t="s">
        <v>186</v>
      </c>
      <c r="C25" s="355"/>
      <c r="D25" s="362"/>
      <c r="E25" s="363"/>
      <c r="F25" s="331" t="s">
        <v>187</v>
      </c>
      <c r="G25" s="364"/>
      <c r="H25" s="353"/>
      <c r="I25" s="354"/>
      <c r="Y25" s="203"/>
      <c r="Z25" s="203"/>
    </row>
    <row r="26" spans="1:26" ht="7.5" customHeight="1" x14ac:dyDescent="0.25">
      <c r="A26" s="200"/>
      <c r="B26" s="200"/>
      <c r="C26" s="200"/>
      <c r="D26" s="200"/>
      <c r="E26" s="206"/>
      <c r="F26" s="206"/>
      <c r="G26" s="206"/>
      <c r="H26" s="206"/>
      <c r="I26" s="206"/>
      <c r="Y26" s="203"/>
      <c r="Z26" s="203"/>
    </row>
    <row r="27" spans="1:26" x14ac:dyDescent="0.25">
      <c r="A27" s="583" t="s">
        <v>317</v>
      </c>
      <c r="B27" s="583"/>
      <c r="C27" s="583"/>
      <c r="D27" s="583"/>
      <c r="E27" s="583"/>
      <c r="F27" s="583"/>
      <c r="G27" s="583"/>
      <c r="H27" s="583"/>
      <c r="I27" s="583"/>
      <c r="J27" s="583"/>
      <c r="K27" s="583"/>
      <c r="Y27" s="203"/>
      <c r="Z27" s="203"/>
    </row>
    <row r="28" spans="1:26" ht="7.5" customHeight="1" thickBot="1" x14ac:dyDescent="0.3">
      <c r="A28" s="199"/>
      <c r="B28" s="199"/>
      <c r="C28" s="199"/>
      <c r="D28" s="199"/>
      <c r="E28" s="199"/>
      <c r="F28" s="205"/>
      <c r="G28" s="205"/>
      <c r="H28" s="205"/>
      <c r="I28" s="205"/>
      <c r="J28" s="199"/>
      <c r="K28" s="199"/>
    </row>
    <row r="29" spans="1:26" ht="15.75" customHeight="1" thickBot="1" x14ac:dyDescent="0.3">
      <c r="B29" s="326" t="s">
        <v>318</v>
      </c>
      <c r="C29" s="327"/>
      <c r="D29" s="328"/>
      <c r="E29" s="329"/>
      <c r="F29" s="205" t="s">
        <v>319</v>
      </c>
      <c r="G29" s="366" t="s">
        <v>320</v>
      </c>
      <c r="H29" s="336"/>
      <c r="I29" s="366" t="s">
        <v>103</v>
      </c>
      <c r="J29" s="336"/>
      <c r="W29" s="198"/>
    </row>
    <row r="30" spans="1:26" ht="7.5" customHeight="1" thickBot="1" x14ac:dyDescent="0.3">
      <c r="A30" s="199"/>
      <c r="B30" s="199"/>
      <c r="C30" s="199"/>
      <c r="D30" s="199"/>
      <c r="E30" s="199"/>
      <c r="F30" s="205"/>
      <c r="G30" s="205"/>
      <c r="H30" s="335"/>
    </row>
    <row r="31" spans="1:26" ht="15.75" customHeight="1" x14ac:dyDescent="0.25">
      <c r="B31" s="326" t="s">
        <v>321</v>
      </c>
      <c r="C31" s="332"/>
      <c r="D31" s="337"/>
      <c r="E31" s="338"/>
      <c r="F31" s="205"/>
      <c r="G31" s="205"/>
      <c r="H31" s="335"/>
      <c r="I31" s="205"/>
      <c r="J31" s="205"/>
      <c r="K31" s="205"/>
    </row>
    <row r="32" spans="1:26" ht="7.5" customHeight="1" x14ac:dyDescent="0.25">
      <c r="A32" s="326"/>
      <c r="B32" s="326"/>
      <c r="C32" s="339"/>
      <c r="D32" s="340"/>
      <c r="E32" s="341"/>
      <c r="F32" s="205"/>
      <c r="G32" s="205"/>
      <c r="H32" s="205"/>
      <c r="I32" s="205"/>
      <c r="J32" s="205"/>
      <c r="K32" s="205"/>
    </row>
    <row r="33" spans="1:26" ht="15.75" thickBot="1" x14ac:dyDescent="0.3">
      <c r="A33" s="207"/>
      <c r="B33" s="205"/>
      <c r="C33" s="342"/>
      <c r="D33" s="343"/>
      <c r="E33" s="344"/>
      <c r="F33" s="205"/>
      <c r="G33" s="205"/>
      <c r="H33" s="205"/>
      <c r="I33" s="205"/>
      <c r="J33" s="205"/>
      <c r="K33" s="205"/>
      <c r="Y33" s="203"/>
      <c r="Z33" s="203"/>
    </row>
    <row r="34" spans="1:26" ht="15.75" thickBot="1" x14ac:dyDescent="0.3">
      <c r="A34" s="207"/>
      <c r="B34" s="205"/>
      <c r="C34" s="205"/>
      <c r="D34" s="205"/>
      <c r="E34" s="205"/>
      <c r="F34" s="205"/>
      <c r="G34" s="205"/>
      <c r="H34" s="205"/>
      <c r="I34" s="205"/>
      <c r="J34" s="205"/>
      <c r="K34" s="205"/>
      <c r="Y34" s="203"/>
      <c r="Z34" s="203"/>
    </row>
    <row r="35" spans="1:26" x14ac:dyDescent="0.25">
      <c r="B35" s="326" t="s">
        <v>322</v>
      </c>
      <c r="C35" s="332"/>
      <c r="D35" s="337"/>
      <c r="E35" s="338"/>
      <c r="F35" s="205"/>
      <c r="G35" s="205"/>
      <c r="H35" s="205"/>
      <c r="I35" s="205"/>
      <c r="J35" s="205"/>
      <c r="K35" s="205"/>
      <c r="Y35" s="203"/>
      <c r="Z35" s="203"/>
    </row>
    <row r="36" spans="1:26" x14ac:dyDescent="0.25">
      <c r="A36" s="326"/>
      <c r="B36" s="326"/>
      <c r="C36" s="339"/>
      <c r="D36" s="340"/>
      <c r="E36" s="341"/>
      <c r="F36" s="205"/>
      <c r="G36" s="205"/>
      <c r="H36" s="205"/>
      <c r="I36" s="205"/>
      <c r="J36" s="205"/>
      <c r="K36" s="205"/>
      <c r="Y36" s="203"/>
      <c r="Z36" s="203"/>
    </row>
    <row r="37" spans="1:26" ht="15.75" thickBot="1" x14ac:dyDescent="0.3">
      <c r="A37" s="207"/>
      <c r="B37" s="205"/>
      <c r="C37" s="342"/>
      <c r="D37" s="343"/>
      <c r="E37" s="344"/>
      <c r="F37" s="205"/>
      <c r="G37" s="205"/>
      <c r="H37" s="205"/>
      <c r="I37" s="205"/>
      <c r="J37" s="205"/>
      <c r="K37" s="205"/>
      <c r="Y37" s="203"/>
      <c r="Z37" s="203"/>
    </row>
    <row r="38" spans="1:26" ht="7.5" customHeight="1" x14ac:dyDescent="0.25">
      <c r="A38" s="321"/>
      <c r="B38" s="321"/>
      <c r="C38" s="321"/>
      <c r="D38" s="321"/>
      <c r="E38" s="206"/>
      <c r="F38" s="206"/>
      <c r="G38" s="206"/>
      <c r="H38" s="206"/>
      <c r="I38" s="206"/>
      <c r="J38" s="206"/>
      <c r="K38" s="206"/>
      <c r="Y38" s="203"/>
      <c r="Z38" s="203"/>
    </row>
    <row r="39" spans="1:26" x14ac:dyDescent="0.25">
      <c r="A39" s="583" t="s">
        <v>189</v>
      </c>
      <c r="B39" s="583"/>
      <c r="C39" s="583"/>
      <c r="D39" s="583"/>
      <c r="E39" s="583"/>
      <c r="F39" s="583"/>
      <c r="G39" s="583"/>
      <c r="H39" s="583"/>
      <c r="I39" s="583"/>
      <c r="J39" s="583"/>
      <c r="K39" s="583"/>
      <c r="Y39" s="203"/>
      <c r="Z39" s="203"/>
    </row>
    <row r="40" spans="1:26" x14ac:dyDescent="0.25">
      <c r="A40" s="207" t="s">
        <v>201</v>
      </c>
      <c r="B40" s="205"/>
      <c r="C40" s="205"/>
      <c r="D40" s="205"/>
      <c r="E40" s="205"/>
      <c r="F40" s="205"/>
      <c r="G40" s="214"/>
      <c r="H40" s="213"/>
      <c r="I40" s="197"/>
      <c r="J40" s="197"/>
      <c r="K40" s="197"/>
      <c r="Y40" s="203"/>
      <c r="Z40" s="203"/>
    </row>
    <row r="41" spans="1:26" ht="7.5" customHeight="1" thickBot="1" x14ac:dyDescent="0.3">
      <c r="A41" s="208"/>
      <c r="B41" s="209"/>
      <c r="C41" s="209"/>
      <c r="D41" s="209"/>
      <c r="E41" s="209"/>
      <c r="F41" s="209"/>
      <c r="G41" s="214"/>
      <c r="H41" s="214"/>
      <c r="I41" s="214"/>
      <c r="J41" s="214"/>
      <c r="K41" s="214"/>
      <c r="Y41" s="203"/>
      <c r="Z41" s="203"/>
    </row>
    <row r="42" spans="1:26" x14ac:dyDescent="0.25">
      <c r="A42" s="584" t="s">
        <v>189</v>
      </c>
      <c r="B42" s="585"/>
      <c r="C42" s="586"/>
      <c r="D42" s="584" t="s">
        <v>200</v>
      </c>
      <c r="E42" s="586"/>
      <c r="F42" s="411"/>
      <c r="G42" s="214"/>
      <c r="H42" s="330"/>
      <c r="I42" s="330"/>
      <c r="J42" s="330"/>
      <c r="K42" s="330"/>
      <c r="Y42" s="203"/>
      <c r="Z42" s="203"/>
    </row>
    <row r="43" spans="1:26" ht="18" customHeight="1" x14ac:dyDescent="0.25">
      <c r="A43" s="577" t="s">
        <v>190</v>
      </c>
      <c r="B43" s="578"/>
      <c r="C43" s="579"/>
      <c r="D43" s="587"/>
      <c r="E43" s="588"/>
      <c r="F43" s="412"/>
      <c r="G43" s="214"/>
      <c r="H43" s="214"/>
      <c r="I43" s="214"/>
      <c r="J43" s="214"/>
      <c r="K43" s="214"/>
      <c r="Y43" s="203"/>
      <c r="Z43" s="203"/>
    </row>
    <row r="44" spans="1:26" ht="18" customHeight="1" x14ac:dyDescent="0.25">
      <c r="A44" s="577" t="s">
        <v>191</v>
      </c>
      <c r="B44" s="578"/>
      <c r="C44" s="579"/>
      <c r="D44" s="587"/>
      <c r="E44" s="588"/>
      <c r="F44" s="412"/>
      <c r="G44" s="214"/>
      <c r="H44" s="214"/>
      <c r="I44" s="214"/>
      <c r="J44" s="214"/>
      <c r="K44" s="214"/>
      <c r="Y44" s="203"/>
      <c r="Z44" s="203"/>
    </row>
    <row r="45" spans="1:26" ht="18" customHeight="1" x14ac:dyDescent="0.25">
      <c r="A45" s="580" t="s">
        <v>235</v>
      </c>
      <c r="B45" s="581"/>
      <c r="C45" s="582"/>
      <c r="D45" s="597"/>
      <c r="E45" s="598"/>
      <c r="F45" s="412"/>
      <c r="G45" s="214"/>
      <c r="H45" s="214"/>
      <c r="I45" s="214"/>
      <c r="J45" s="214"/>
      <c r="K45" s="214"/>
      <c r="Y45" s="203"/>
      <c r="Z45" s="203"/>
    </row>
    <row r="46" spans="1:26" ht="18" customHeight="1" x14ac:dyDescent="0.25">
      <c r="A46" s="577" t="s">
        <v>192</v>
      </c>
      <c r="B46" s="578"/>
      <c r="C46" s="579"/>
      <c r="D46" s="587"/>
      <c r="E46" s="588"/>
      <c r="F46" s="412"/>
      <c r="G46" s="214"/>
      <c r="H46" s="214"/>
      <c r="I46" s="214"/>
      <c r="J46" s="214"/>
      <c r="K46" s="214"/>
      <c r="Y46" s="203"/>
      <c r="Z46" s="203"/>
    </row>
    <row r="47" spans="1:26" ht="18" customHeight="1" x14ac:dyDescent="0.25">
      <c r="A47" s="580" t="s">
        <v>233</v>
      </c>
      <c r="B47" s="581"/>
      <c r="C47" s="582"/>
      <c r="D47" s="597"/>
      <c r="E47" s="598"/>
      <c r="F47" s="412"/>
      <c r="G47" s="214"/>
      <c r="H47" s="214"/>
      <c r="I47" s="214"/>
      <c r="J47" s="214"/>
      <c r="K47" s="214"/>
      <c r="Y47" s="203"/>
      <c r="Z47" s="203"/>
    </row>
    <row r="48" spans="1:26" ht="18" customHeight="1" x14ac:dyDescent="0.25">
      <c r="A48" s="589" t="s">
        <v>145</v>
      </c>
      <c r="B48" s="590"/>
      <c r="C48" s="591"/>
      <c r="D48" s="599"/>
      <c r="E48" s="600"/>
      <c r="F48" s="412"/>
      <c r="G48" s="214"/>
      <c r="H48" s="214"/>
      <c r="I48" s="214"/>
      <c r="J48" s="214"/>
      <c r="K48" s="214"/>
      <c r="Y48" s="203"/>
      <c r="Z48" s="203"/>
    </row>
    <row r="49" spans="1:26" ht="18" customHeight="1" x14ac:dyDescent="0.25">
      <c r="A49" s="580" t="s">
        <v>236</v>
      </c>
      <c r="B49" s="581"/>
      <c r="C49" s="582"/>
      <c r="D49" s="597"/>
      <c r="E49" s="598"/>
      <c r="F49" s="412"/>
      <c r="G49" s="214"/>
      <c r="H49" s="214"/>
      <c r="I49" s="214"/>
      <c r="J49" s="214"/>
      <c r="K49" s="214"/>
      <c r="Y49" s="203"/>
      <c r="Z49" s="203"/>
    </row>
    <row r="50" spans="1:26" ht="18" customHeight="1" x14ac:dyDescent="0.25">
      <c r="A50" s="577" t="s">
        <v>237</v>
      </c>
      <c r="B50" s="578"/>
      <c r="C50" s="579"/>
      <c r="D50" s="587"/>
      <c r="E50" s="588"/>
      <c r="F50" s="412"/>
      <c r="G50" s="214"/>
      <c r="H50" s="214"/>
      <c r="I50" s="214"/>
      <c r="J50" s="214"/>
      <c r="K50" s="214"/>
      <c r="Y50" s="203"/>
      <c r="Z50" s="203"/>
    </row>
    <row r="51" spans="1:26" ht="18" customHeight="1" x14ac:dyDescent="0.25">
      <c r="A51" s="577" t="s">
        <v>193</v>
      </c>
      <c r="B51" s="578"/>
      <c r="C51" s="579"/>
      <c r="D51" s="587"/>
      <c r="E51" s="588"/>
      <c r="F51" s="412"/>
      <c r="G51" s="214"/>
      <c r="H51" s="214"/>
      <c r="I51" s="214"/>
      <c r="J51" s="214"/>
      <c r="K51" s="214"/>
      <c r="Y51" s="203"/>
      <c r="Z51" s="203"/>
    </row>
    <row r="52" spans="1:26" ht="18" customHeight="1" x14ac:dyDescent="0.25">
      <c r="A52" s="577" t="s">
        <v>194</v>
      </c>
      <c r="B52" s="578"/>
      <c r="C52" s="579"/>
      <c r="D52" s="587"/>
      <c r="E52" s="588"/>
      <c r="F52" s="412"/>
      <c r="G52" s="214"/>
      <c r="H52" s="214"/>
      <c r="I52" s="214"/>
      <c r="J52" s="214"/>
      <c r="K52" s="214"/>
      <c r="Y52" s="203"/>
      <c r="Z52" s="203"/>
    </row>
    <row r="53" spans="1:26" ht="18" customHeight="1" x14ac:dyDescent="0.25">
      <c r="A53" s="577" t="s">
        <v>197</v>
      </c>
      <c r="B53" s="578"/>
      <c r="C53" s="579"/>
      <c r="D53" s="587"/>
      <c r="E53" s="588"/>
      <c r="F53" s="412"/>
      <c r="G53" s="214"/>
      <c r="H53" s="214"/>
      <c r="I53" s="214"/>
      <c r="J53" s="214"/>
      <c r="K53" s="214"/>
      <c r="Y53" s="203"/>
      <c r="Z53" s="203"/>
    </row>
    <row r="54" spans="1:26" ht="18" customHeight="1" x14ac:dyDescent="0.25">
      <c r="A54" s="577" t="s">
        <v>195</v>
      </c>
      <c r="B54" s="578"/>
      <c r="C54" s="579"/>
      <c r="D54" s="587"/>
      <c r="E54" s="588"/>
      <c r="F54" s="412"/>
      <c r="G54" s="214"/>
      <c r="H54" s="214"/>
      <c r="I54" s="214"/>
      <c r="J54" s="214"/>
      <c r="K54" s="214"/>
      <c r="Y54" s="203"/>
      <c r="Z54" s="203"/>
    </row>
    <row r="55" spans="1:26" ht="18" customHeight="1" x14ac:dyDescent="0.25">
      <c r="A55" s="577" t="s">
        <v>196</v>
      </c>
      <c r="B55" s="578"/>
      <c r="C55" s="579"/>
      <c r="D55" s="587"/>
      <c r="E55" s="588"/>
      <c r="F55" s="412"/>
      <c r="G55" s="214"/>
      <c r="H55" s="214"/>
      <c r="I55" s="214"/>
      <c r="J55" s="214"/>
      <c r="K55" s="214"/>
      <c r="Y55" s="203"/>
      <c r="Z55" s="203"/>
    </row>
    <row r="56" spans="1:26" ht="18" customHeight="1" x14ac:dyDescent="0.25">
      <c r="A56" s="577" t="s">
        <v>234</v>
      </c>
      <c r="B56" s="578"/>
      <c r="C56" s="579"/>
      <c r="D56" s="587"/>
      <c r="E56" s="588"/>
      <c r="F56" s="412"/>
      <c r="G56" s="214"/>
      <c r="H56" s="214"/>
      <c r="I56" s="214"/>
      <c r="J56" s="214"/>
      <c r="K56" s="214"/>
      <c r="Y56" s="203"/>
      <c r="Z56" s="203"/>
    </row>
    <row r="57" spans="1:26" ht="18" customHeight="1" x14ac:dyDescent="0.25">
      <c r="A57" s="577" t="s">
        <v>198</v>
      </c>
      <c r="B57" s="578"/>
      <c r="C57" s="579"/>
      <c r="D57" s="587"/>
      <c r="E57" s="588"/>
      <c r="F57" s="412"/>
      <c r="G57" s="214"/>
      <c r="H57" s="214"/>
      <c r="I57" s="214"/>
      <c r="J57" s="214"/>
      <c r="K57" s="214"/>
      <c r="Y57" s="203"/>
      <c r="Z57" s="203"/>
    </row>
    <row r="58" spans="1:26" ht="18" customHeight="1" thickBot="1" x14ac:dyDescent="0.3">
      <c r="A58" s="594"/>
      <c r="B58" s="595"/>
      <c r="C58" s="596"/>
      <c r="D58" s="592"/>
      <c r="E58" s="593"/>
      <c r="F58" s="412"/>
      <c r="G58" s="214"/>
      <c r="H58" s="214"/>
      <c r="I58" s="214"/>
      <c r="J58" s="214"/>
      <c r="K58" s="214"/>
      <c r="Y58" s="203"/>
      <c r="Z58" s="203"/>
    </row>
    <row r="59" spans="1:26" s="211" customFormat="1" ht="7.5" customHeight="1" x14ac:dyDescent="0.25">
      <c r="A59" s="208"/>
      <c r="B59" s="210"/>
      <c r="C59" s="210"/>
      <c r="D59" s="210"/>
      <c r="E59" s="210"/>
      <c r="F59" s="210"/>
      <c r="G59"/>
      <c r="H59"/>
      <c r="I59"/>
      <c r="J59"/>
      <c r="K59"/>
      <c r="L59"/>
      <c r="M59"/>
      <c r="N59"/>
      <c r="O59"/>
      <c r="P59"/>
      <c r="Q59"/>
      <c r="R59"/>
      <c r="S59"/>
      <c r="T59"/>
      <c r="U59"/>
      <c r="V59"/>
      <c r="Y59" s="212"/>
      <c r="Z59" s="212"/>
    </row>
    <row r="60" spans="1:26" ht="28.5" customHeight="1" x14ac:dyDescent="0.25">
      <c r="A60" s="199"/>
      <c r="B60" s="199"/>
      <c r="C60" s="199"/>
      <c r="D60" s="199"/>
      <c r="E60" s="199"/>
      <c r="F60" s="199"/>
    </row>
    <row r="61" spans="1:26" x14ac:dyDescent="0.25">
      <c r="A61" s="213"/>
      <c r="B61" s="213"/>
      <c r="C61" s="213"/>
      <c r="D61" s="213"/>
      <c r="E61" s="213"/>
      <c r="F61" s="213"/>
    </row>
    <row r="62" spans="1:26" x14ac:dyDescent="0.25">
      <c r="A62" s="214"/>
      <c r="B62" s="214"/>
      <c r="C62" s="214"/>
      <c r="D62" s="214"/>
      <c r="E62" s="214"/>
      <c r="F62" s="214"/>
    </row>
    <row r="63" spans="1:26" x14ac:dyDescent="0.25">
      <c r="A63" s="330"/>
      <c r="B63" s="330"/>
      <c r="C63" s="330"/>
      <c r="D63" s="330"/>
      <c r="E63" s="330"/>
      <c r="F63" s="330"/>
    </row>
    <row r="64" spans="1:26" x14ac:dyDescent="0.25">
      <c r="A64" s="199"/>
      <c r="B64" s="199"/>
      <c r="C64" s="199"/>
      <c r="D64" s="199"/>
      <c r="E64" s="199"/>
      <c r="F64" s="199"/>
    </row>
  </sheetData>
  <protectedRanges>
    <protectedRange sqref="D15" name="Raison sociale"/>
    <protectedRange sqref="D17 D19 E18" name="Effectif total"/>
    <protectedRange sqref="H15" name="Adresse siège"/>
    <protectedRange sqref="D23" name="effectif sse"/>
    <protectedRange sqref="H23" name="resp sse"/>
    <protectedRange sqref="G25" name="mail resp sse"/>
    <protectedRange sqref="D25" name="numéro resp sse"/>
    <protectedRange sqref="D44:D58" name="indicateurs accidento"/>
    <protectedRange sqref="C29" name="Raison sociale_1"/>
    <protectedRange sqref="C31 C35" name="Effectif total_1"/>
  </protectedRanges>
  <mergeCells count="51">
    <mergeCell ref="D58:E58"/>
    <mergeCell ref="A57:C57"/>
    <mergeCell ref="A58:C58"/>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A52:C52"/>
    <mergeCell ref="A53:C53"/>
    <mergeCell ref="A54:C54"/>
    <mergeCell ref="A55:C55"/>
    <mergeCell ref="A56:C56"/>
    <mergeCell ref="A47:C47"/>
    <mergeCell ref="A48:C48"/>
    <mergeCell ref="A49:C49"/>
    <mergeCell ref="A50:C50"/>
    <mergeCell ref="A51:C51"/>
    <mergeCell ref="A44:C44"/>
    <mergeCell ref="A45:C45"/>
    <mergeCell ref="A46:C46"/>
    <mergeCell ref="A13:K13"/>
    <mergeCell ref="A21:K21"/>
    <mergeCell ref="A27:K27"/>
    <mergeCell ref="A42:C42"/>
    <mergeCell ref="A43:C43"/>
    <mergeCell ref="D42:E42"/>
    <mergeCell ref="D43:E43"/>
    <mergeCell ref="A39:K39"/>
    <mergeCell ref="A2:K3"/>
    <mergeCell ref="A4:K5"/>
    <mergeCell ref="A12:K12"/>
    <mergeCell ref="A6:I6"/>
    <mergeCell ref="A7:C7"/>
    <mergeCell ref="A8:C8"/>
    <mergeCell ref="A9:C9"/>
    <mergeCell ref="D9:G9"/>
    <mergeCell ref="D7:K7"/>
    <mergeCell ref="D8:K8"/>
    <mergeCell ref="H9:K9"/>
    <mergeCell ref="D10:K10"/>
    <mergeCell ref="A10:C10"/>
  </mergeCells>
  <dataValidations count="6">
    <dataValidation allowBlank="1" showInputMessage="1" showErrorMessage="1" prompt="Indiquez les NOM et Prénom du Responsable Qualité" sqref="D8"/>
    <dataValidation allowBlank="1" showInputMessage="1" showErrorMessage="1" prompt="Indiquez le téléphone" sqref="H9 H11"/>
    <dataValidation allowBlank="1" showInputMessage="1" showErrorMessage="1" prompt="Indiquez l'email" sqref="D9 D11"/>
    <dataValidation allowBlank="1" showInputMessage="1" showErrorMessage="1" prompt="Indiquez le nom de l'établissement concerné par l'autodiagnostic" sqref="D7"/>
    <dataValidation allowBlank="1" showInputMessage="1" showErrorMessage="1" prompt="Veuillez cocher la case" sqref="D44:D58"/>
    <dataValidation allowBlank="1" showInputMessage="1" showErrorMessage="1" prompt="Précisez vos certifications déjà obtenues" sqref="D10:K10"/>
  </dataValidations>
  <pageMargins left="0.7" right="0.7"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885825</xdr:colOff>
                    <xdr:row>42</xdr:row>
                    <xdr:rowOff>0</xdr:rowOff>
                  </from>
                  <to>
                    <xdr:col>4</xdr:col>
                    <xdr:colOff>200025</xdr:colOff>
                    <xdr:row>42</xdr:row>
                    <xdr:rowOff>219075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885825</xdr:colOff>
                    <xdr:row>46</xdr:row>
                    <xdr:rowOff>0</xdr:rowOff>
                  </from>
                  <to>
                    <xdr:col>4</xdr:col>
                    <xdr:colOff>200025</xdr:colOff>
                    <xdr:row>46</xdr:row>
                    <xdr:rowOff>219075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885825</xdr:colOff>
                    <xdr:row>43</xdr:row>
                    <xdr:rowOff>0</xdr:rowOff>
                  </from>
                  <to>
                    <xdr:col>4</xdr:col>
                    <xdr:colOff>200025</xdr:colOff>
                    <xdr:row>43</xdr:row>
                    <xdr:rowOff>219075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3</xdr:col>
                    <xdr:colOff>885825</xdr:colOff>
                    <xdr:row>47</xdr:row>
                    <xdr:rowOff>0</xdr:rowOff>
                  </from>
                  <to>
                    <xdr:col>4</xdr:col>
                    <xdr:colOff>200025</xdr:colOff>
                    <xdr:row>47</xdr:row>
                    <xdr:rowOff>219075</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3</xdr:col>
                    <xdr:colOff>885825</xdr:colOff>
                    <xdr:row>54</xdr:row>
                    <xdr:rowOff>9525</xdr:rowOff>
                  </from>
                  <to>
                    <xdr:col>4</xdr:col>
                    <xdr:colOff>200025</xdr:colOff>
                    <xdr:row>55</xdr:row>
                    <xdr:rowOff>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3</xdr:col>
                    <xdr:colOff>885825</xdr:colOff>
                    <xdr:row>57</xdr:row>
                    <xdr:rowOff>9525</xdr:rowOff>
                  </from>
                  <to>
                    <xdr:col>4</xdr:col>
                    <xdr:colOff>200025</xdr:colOff>
                    <xdr:row>58</xdr:row>
                    <xdr:rowOff>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3</xdr:col>
                    <xdr:colOff>885825</xdr:colOff>
                    <xdr:row>51</xdr:row>
                    <xdr:rowOff>9525</xdr:rowOff>
                  </from>
                  <to>
                    <xdr:col>4</xdr:col>
                    <xdr:colOff>200025</xdr:colOff>
                    <xdr:row>52</xdr:row>
                    <xdr:rowOff>0</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3</xdr:col>
                    <xdr:colOff>885825</xdr:colOff>
                    <xdr:row>55</xdr:row>
                    <xdr:rowOff>9525</xdr:rowOff>
                  </from>
                  <to>
                    <xdr:col>4</xdr:col>
                    <xdr:colOff>200025</xdr:colOff>
                    <xdr:row>56</xdr:row>
                    <xdr:rowOff>0</xdr:rowOff>
                  </to>
                </anchor>
              </controlPr>
            </control>
          </mc:Choice>
        </mc:AlternateContent>
        <mc:AlternateContent xmlns:mc="http://schemas.openxmlformats.org/markup-compatibility/2006">
          <mc:Choice Requires="x14">
            <control shapeId="7181" r:id="rId12" name="Check Box 13">
              <controlPr defaultSize="0" autoFill="0" autoLine="0" autoPict="0">
                <anchor moveWithCells="1">
                  <from>
                    <xdr:col>3</xdr:col>
                    <xdr:colOff>885825</xdr:colOff>
                    <xdr:row>56</xdr:row>
                    <xdr:rowOff>9525</xdr:rowOff>
                  </from>
                  <to>
                    <xdr:col>4</xdr:col>
                    <xdr:colOff>200025</xdr:colOff>
                    <xdr:row>57</xdr:row>
                    <xdr:rowOff>0</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3</xdr:col>
                    <xdr:colOff>885825</xdr:colOff>
                    <xdr:row>53</xdr:row>
                    <xdr:rowOff>9525</xdr:rowOff>
                  </from>
                  <to>
                    <xdr:col>4</xdr:col>
                    <xdr:colOff>200025</xdr:colOff>
                    <xdr:row>54</xdr:row>
                    <xdr:rowOff>0</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3</xdr:col>
                    <xdr:colOff>885825</xdr:colOff>
                    <xdr:row>52</xdr:row>
                    <xdr:rowOff>9525</xdr:rowOff>
                  </from>
                  <to>
                    <xdr:col>4</xdr:col>
                    <xdr:colOff>200025</xdr:colOff>
                    <xdr:row>53</xdr:row>
                    <xdr:rowOff>0</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3</xdr:col>
                    <xdr:colOff>885825</xdr:colOff>
                    <xdr:row>44</xdr:row>
                    <xdr:rowOff>0</xdr:rowOff>
                  </from>
                  <to>
                    <xdr:col>4</xdr:col>
                    <xdr:colOff>200025</xdr:colOff>
                    <xdr:row>44</xdr:row>
                    <xdr:rowOff>219075</xdr:rowOff>
                  </to>
                </anchor>
              </controlPr>
            </control>
          </mc:Choice>
        </mc:AlternateContent>
        <mc:AlternateContent xmlns:mc="http://schemas.openxmlformats.org/markup-compatibility/2006">
          <mc:Choice Requires="x14">
            <control shapeId="7185" r:id="rId16" name="Check Box 17">
              <controlPr defaultSize="0" autoFill="0" autoLine="0" autoPict="0">
                <anchor moveWithCells="1">
                  <from>
                    <xdr:col>3</xdr:col>
                    <xdr:colOff>885825</xdr:colOff>
                    <xdr:row>45</xdr:row>
                    <xdr:rowOff>0</xdr:rowOff>
                  </from>
                  <to>
                    <xdr:col>4</xdr:col>
                    <xdr:colOff>200025</xdr:colOff>
                    <xdr:row>45</xdr:row>
                    <xdr:rowOff>219075</xdr:rowOff>
                  </to>
                </anchor>
              </controlPr>
            </control>
          </mc:Choice>
        </mc:AlternateContent>
        <mc:AlternateContent xmlns:mc="http://schemas.openxmlformats.org/markup-compatibility/2006">
          <mc:Choice Requires="x14">
            <control shapeId="7186" r:id="rId17" name="Check Box 18">
              <controlPr defaultSize="0" autoFill="0" autoLine="0" autoPict="0">
                <anchor moveWithCells="1">
                  <from>
                    <xdr:col>3</xdr:col>
                    <xdr:colOff>885825</xdr:colOff>
                    <xdr:row>48</xdr:row>
                    <xdr:rowOff>0</xdr:rowOff>
                  </from>
                  <to>
                    <xdr:col>4</xdr:col>
                    <xdr:colOff>200025</xdr:colOff>
                    <xdr:row>48</xdr:row>
                    <xdr:rowOff>219075</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3</xdr:col>
                    <xdr:colOff>885825</xdr:colOff>
                    <xdr:row>49</xdr:row>
                    <xdr:rowOff>0</xdr:rowOff>
                  </from>
                  <to>
                    <xdr:col>4</xdr:col>
                    <xdr:colOff>200025</xdr:colOff>
                    <xdr:row>49</xdr:row>
                    <xdr:rowOff>219075</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from>
                    <xdr:col>3</xdr:col>
                    <xdr:colOff>885825</xdr:colOff>
                    <xdr:row>50</xdr:row>
                    <xdr:rowOff>0</xdr:rowOff>
                  </from>
                  <to>
                    <xdr:col>4</xdr:col>
                    <xdr:colOff>200025</xdr:colOff>
                    <xdr:row>50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F0"/>
  </sheetPr>
  <dimension ref="A1:V66"/>
  <sheetViews>
    <sheetView topLeftCell="A10" zoomScaleNormal="100" zoomScaleSheetLayoutView="100" workbookViewId="0">
      <selection activeCell="I15" sqref="I15"/>
    </sheetView>
  </sheetViews>
  <sheetFormatPr baseColWidth="10" defaultColWidth="11" defaultRowHeight="15" x14ac:dyDescent="0.25"/>
  <cols>
    <col min="1" max="1" width="34.140625" style="15" customWidth="1"/>
    <col min="2" max="2" width="16.42578125" style="15" customWidth="1"/>
    <col min="3" max="3" width="18" style="15" customWidth="1"/>
    <col min="4" max="4" width="33.140625" style="15" customWidth="1"/>
    <col min="5" max="5" width="17.140625" style="17" customWidth="1"/>
    <col min="6" max="6" width="15.85546875" style="17" customWidth="1"/>
    <col min="7" max="7" width="1.28515625" style="18" customWidth="1"/>
    <col min="8" max="8" width="29.28515625" style="186" customWidth="1"/>
    <col min="9" max="22" width="11" style="185"/>
    <col min="23" max="16384" width="11" style="14"/>
  </cols>
  <sheetData>
    <row r="1" spans="1:22" ht="12.75" customHeight="1" x14ac:dyDescent="0.25">
      <c r="A1" s="16" t="str">
        <f>Présentation!A1</f>
        <v>Document basé sur la norme EN9100</v>
      </c>
      <c r="B1" s="16"/>
      <c r="C1" s="16"/>
      <c r="D1" s="16"/>
      <c r="E1" s="193"/>
      <c r="F1" s="369" t="str">
        <f>Présentation!I1</f>
        <v>Enregistrement qualité :  A4 100% vertical</v>
      </c>
      <c r="G1" s="14"/>
      <c r="H1" s="184"/>
    </row>
    <row r="2" spans="1:22" ht="17.100000000000001" customHeight="1" x14ac:dyDescent="0.25">
      <c r="A2" s="611" t="str">
        <f>Présentation!A3</f>
        <v>QualAéro: La Qualité dans l'Aéronautique</v>
      </c>
      <c r="B2" s="611"/>
      <c r="C2" s="611"/>
      <c r="D2" s="611"/>
      <c r="E2" s="611"/>
      <c r="F2" s="611"/>
      <c r="G2" s="14"/>
      <c r="H2" s="184"/>
    </row>
    <row r="3" spans="1:22" ht="24.75" customHeight="1" x14ac:dyDescent="0.25">
      <c r="A3" s="611"/>
      <c r="B3" s="611"/>
      <c r="C3" s="611"/>
      <c r="D3" s="611"/>
      <c r="E3" s="611"/>
      <c r="F3" s="611"/>
      <c r="G3" s="14"/>
      <c r="H3" s="184"/>
    </row>
    <row r="4" spans="1:22" ht="24.75" customHeight="1" x14ac:dyDescent="0.25">
      <c r="A4" s="612" t="s">
        <v>636</v>
      </c>
      <c r="B4" s="612"/>
      <c r="C4" s="612"/>
      <c r="D4" s="612"/>
      <c r="E4" s="612"/>
      <c r="F4" s="612"/>
      <c r="G4" s="14">
        <v>2</v>
      </c>
      <c r="H4" s="184"/>
    </row>
    <row r="5" spans="1:22" s="448" customFormat="1" ht="11.25" customHeight="1" x14ac:dyDescent="0.25">
      <c r="A5" s="602" t="s">
        <v>641</v>
      </c>
      <c r="B5" s="602"/>
      <c r="C5" s="602"/>
      <c r="D5" s="602"/>
      <c r="E5" s="602"/>
      <c r="F5" s="602"/>
      <c r="H5" s="449"/>
      <c r="I5" s="449"/>
      <c r="J5" s="449"/>
      <c r="K5" s="449"/>
      <c r="L5" s="449"/>
      <c r="M5" s="449"/>
      <c r="N5" s="449"/>
      <c r="O5" s="449"/>
      <c r="P5" s="449"/>
      <c r="Q5" s="449"/>
      <c r="R5" s="449"/>
      <c r="S5" s="449"/>
      <c r="T5" s="449"/>
      <c r="U5" s="449"/>
      <c r="V5" s="449"/>
    </row>
    <row r="6" spans="1:22" ht="6" customHeight="1" x14ac:dyDescent="0.25">
      <c r="G6" s="14"/>
      <c r="H6" s="184"/>
    </row>
    <row r="7" spans="1:22" ht="15" customHeight="1" x14ac:dyDescent="0.25">
      <c r="A7" s="169" t="s">
        <v>75</v>
      </c>
      <c r="B7" s="615" t="s">
        <v>76</v>
      </c>
      <c r="C7" s="621"/>
      <c r="D7" s="621"/>
      <c r="E7" s="615" t="s">
        <v>120</v>
      </c>
      <c r="F7" s="616"/>
      <c r="G7" s="14"/>
      <c r="H7" s="184"/>
    </row>
    <row r="8" spans="1:22" ht="89.25" customHeight="1" x14ac:dyDescent="0.25">
      <c r="A8" s="450" t="s">
        <v>115</v>
      </c>
      <c r="B8" s="619" t="s">
        <v>121</v>
      </c>
      <c r="C8" s="620"/>
      <c r="D8" s="620"/>
      <c r="E8" s="617" t="s">
        <v>124</v>
      </c>
      <c r="F8" s="618"/>
      <c r="G8" s="14"/>
      <c r="H8" s="184"/>
    </row>
    <row r="9" spans="1:22" ht="89.25" customHeight="1" x14ac:dyDescent="0.25">
      <c r="A9" s="451" t="s">
        <v>114</v>
      </c>
      <c r="B9" s="619" t="s">
        <v>119</v>
      </c>
      <c r="C9" s="620"/>
      <c r="D9" s="620"/>
      <c r="E9" s="617" t="s">
        <v>645</v>
      </c>
      <c r="F9" s="618"/>
      <c r="G9" s="14"/>
      <c r="H9" s="184"/>
    </row>
    <row r="10" spans="1:22" ht="114" customHeight="1" x14ac:dyDescent="0.25">
      <c r="A10" s="450" t="s">
        <v>117</v>
      </c>
      <c r="B10" s="619" t="s">
        <v>123</v>
      </c>
      <c r="C10" s="620"/>
      <c r="D10" s="620"/>
      <c r="E10" s="617" t="s">
        <v>651</v>
      </c>
      <c r="F10" s="618"/>
      <c r="G10" s="14"/>
      <c r="H10" s="184"/>
    </row>
    <row r="11" spans="1:22" ht="55.5" customHeight="1" x14ac:dyDescent="0.25">
      <c r="A11" s="450" t="s">
        <v>305</v>
      </c>
      <c r="B11" s="619" t="s">
        <v>497</v>
      </c>
      <c r="C11" s="620"/>
      <c r="D11" s="620"/>
      <c r="E11" s="617" t="s">
        <v>496</v>
      </c>
      <c r="F11" s="618"/>
      <c r="G11" s="14"/>
      <c r="H11" s="184"/>
    </row>
    <row r="12" spans="1:22" ht="44.25" customHeight="1" x14ac:dyDescent="0.25">
      <c r="A12" s="452" t="s">
        <v>220</v>
      </c>
      <c r="B12" s="619" t="s">
        <v>495</v>
      </c>
      <c r="C12" s="620"/>
      <c r="D12" s="620"/>
      <c r="E12" s="617" t="s">
        <v>494</v>
      </c>
      <c r="F12" s="618"/>
      <c r="G12" s="14"/>
      <c r="H12" s="184"/>
    </row>
    <row r="13" spans="1:22" ht="125.25" customHeight="1" x14ac:dyDescent="0.25">
      <c r="A13" s="452" t="s">
        <v>113</v>
      </c>
      <c r="B13" s="619" t="s">
        <v>118</v>
      </c>
      <c r="C13" s="620"/>
      <c r="D13" s="620"/>
      <c r="E13" s="617" t="s">
        <v>125</v>
      </c>
      <c r="F13" s="618"/>
      <c r="G13" s="14"/>
      <c r="H13" s="184"/>
    </row>
    <row r="14" spans="1:22" ht="36.75" customHeight="1" x14ac:dyDescent="0.25">
      <c r="A14" s="450" t="s">
        <v>498</v>
      </c>
      <c r="B14" s="619" t="s">
        <v>499</v>
      </c>
      <c r="C14" s="620"/>
      <c r="D14" s="620"/>
      <c r="E14" s="617" t="s">
        <v>500</v>
      </c>
      <c r="F14" s="618"/>
      <c r="G14" s="14"/>
      <c r="H14" s="184"/>
    </row>
    <row r="15" spans="1:22" ht="36.75" customHeight="1" x14ac:dyDescent="0.25">
      <c r="A15" s="450" t="s">
        <v>116</v>
      </c>
      <c r="B15" s="619" t="s">
        <v>122</v>
      </c>
      <c r="C15" s="620"/>
      <c r="D15" s="620"/>
      <c r="E15" s="630"/>
      <c r="F15" s="631"/>
      <c r="G15" s="14"/>
      <c r="H15" s="184"/>
    </row>
    <row r="16" spans="1:22" ht="36.75" customHeight="1" x14ac:dyDescent="0.25">
      <c r="A16" s="450" t="s">
        <v>480</v>
      </c>
      <c r="B16" s="619" t="s">
        <v>478</v>
      </c>
      <c r="C16" s="620"/>
      <c r="D16" s="620"/>
      <c r="E16" s="630"/>
      <c r="F16" s="631"/>
      <c r="G16" s="14"/>
      <c r="H16" s="184"/>
    </row>
    <row r="17" spans="1:8" ht="36.75" customHeight="1" x14ac:dyDescent="0.25">
      <c r="A17" s="450" t="s">
        <v>501</v>
      </c>
      <c r="B17" s="619" t="s">
        <v>502</v>
      </c>
      <c r="C17" s="620"/>
      <c r="D17" s="620"/>
      <c r="E17" s="630"/>
      <c r="F17" s="631"/>
      <c r="G17" s="14"/>
      <c r="H17" s="184"/>
    </row>
    <row r="18" spans="1:8" ht="36.75" customHeight="1" x14ac:dyDescent="0.25">
      <c r="A18" s="450" t="s">
        <v>503</v>
      </c>
      <c r="B18" s="619" t="s">
        <v>504</v>
      </c>
      <c r="C18" s="620"/>
      <c r="D18" s="620"/>
      <c r="E18" s="630"/>
      <c r="F18" s="631"/>
      <c r="G18" s="14"/>
      <c r="H18" s="184"/>
    </row>
    <row r="19" spans="1:8" ht="75.75" customHeight="1" x14ac:dyDescent="0.25">
      <c r="A19" s="450" t="s">
        <v>505</v>
      </c>
      <c r="B19" s="619" t="s">
        <v>506</v>
      </c>
      <c r="C19" s="620"/>
      <c r="D19" s="620"/>
      <c r="E19" s="630"/>
      <c r="F19" s="631"/>
      <c r="G19" s="14"/>
      <c r="H19" s="184"/>
    </row>
    <row r="20" spans="1:8" ht="36.75" customHeight="1" x14ac:dyDescent="0.25">
      <c r="A20" s="450" t="s">
        <v>507</v>
      </c>
      <c r="B20" s="619" t="s">
        <v>508</v>
      </c>
      <c r="C20" s="620"/>
      <c r="D20" s="620"/>
      <c r="E20" s="617" t="s">
        <v>509</v>
      </c>
      <c r="F20" s="618"/>
      <c r="G20" s="14"/>
      <c r="H20" s="184"/>
    </row>
    <row r="21" spans="1:8" ht="6" customHeight="1" x14ac:dyDescent="0.25">
      <c r="A21" s="14"/>
      <c r="B21" s="14"/>
      <c r="C21" s="14"/>
      <c r="D21" s="14"/>
      <c r="E21" s="14"/>
      <c r="F21" s="14"/>
      <c r="G21" s="14"/>
      <c r="H21" s="184"/>
    </row>
    <row r="22" spans="1:8" ht="35.1" customHeight="1" x14ac:dyDescent="0.25">
      <c r="A22" s="632" t="s">
        <v>521</v>
      </c>
      <c r="B22" s="633"/>
      <c r="C22" s="633"/>
      <c r="D22" s="633"/>
      <c r="E22" s="633"/>
      <c r="F22" s="634"/>
      <c r="G22" s="14"/>
      <c r="H22" s="184"/>
    </row>
    <row r="23" spans="1:8" ht="35.1" customHeight="1" x14ac:dyDescent="0.25">
      <c r="A23" s="627" t="s">
        <v>522</v>
      </c>
      <c r="B23" s="629"/>
      <c r="C23" s="627" t="s">
        <v>523</v>
      </c>
      <c r="D23" s="628"/>
      <c r="E23" s="628"/>
      <c r="F23" s="629"/>
      <c r="G23" s="14"/>
      <c r="H23" s="184"/>
    </row>
    <row r="24" spans="1:8" ht="27" customHeight="1" x14ac:dyDescent="0.25">
      <c r="A24" s="613" t="s">
        <v>539</v>
      </c>
      <c r="B24" s="614"/>
      <c r="C24" s="608" t="s">
        <v>568</v>
      </c>
      <c r="D24" s="609"/>
      <c r="E24" s="609"/>
      <c r="F24" s="610"/>
      <c r="G24" s="14"/>
      <c r="H24" s="184"/>
    </row>
    <row r="25" spans="1:8" ht="27" customHeight="1" x14ac:dyDescent="0.25">
      <c r="A25" s="613" t="s">
        <v>540</v>
      </c>
      <c r="B25" s="614"/>
      <c r="C25" s="608" t="s">
        <v>569</v>
      </c>
      <c r="D25" s="609"/>
      <c r="E25" s="609"/>
      <c r="F25" s="610"/>
      <c r="G25" s="14"/>
      <c r="H25" s="184"/>
    </row>
    <row r="26" spans="1:8" ht="27" customHeight="1" x14ac:dyDescent="0.25">
      <c r="A26" s="613" t="s">
        <v>532</v>
      </c>
      <c r="B26" s="614"/>
      <c r="C26" s="608" t="s">
        <v>533</v>
      </c>
      <c r="D26" s="609"/>
      <c r="E26" s="609" t="s">
        <v>534</v>
      </c>
      <c r="F26" s="610"/>
      <c r="G26" s="14"/>
      <c r="H26" s="184"/>
    </row>
    <row r="27" spans="1:8" ht="27" customHeight="1" x14ac:dyDescent="0.25">
      <c r="A27" s="613" t="s">
        <v>541</v>
      </c>
      <c r="B27" s="614"/>
      <c r="C27" s="608" t="s">
        <v>615</v>
      </c>
      <c r="D27" s="609"/>
      <c r="E27" s="609"/>
      <c r="F27" s="610"/>
      <c r="G27" s="14"/>
      <c r="H27" s="184"/>
    </row>
    <row r="28" spans="1:8" ht="27" customHeight="1" x14ac:dyDescent="0.25">
      <c r="A28" s="613" t="s">
        <v>542</v>
      </c>
      <c r="B28" s="614"/>
      <c r="C28" s="608" t="s">
        <v>615</v>
      </c>
      <c r="D28" s="609"/>
      <c r="E28" s="609"/>
      <c r="F28" s="610"/>
      <c r="G28" s="14"/>
      <c r="H28" s="184"/>
    </row>
    <row r="29" spans="1:8" ht="27" customHeight="1" x14ac:dyDescent="0.25">
      <c r="A29" s="613" t="s">
        <v>535</v>
      </c>
      <c r="B29" s="614"/>
      <c r="C29" s="608" t="s">
        <v>536</v>
      </c>
      <c r="D29" s="609"/>
      <c r="E29" s="609" t="s">
        <v>603</v>
      </c>
      <c r="F29" s="610"/>
      <c r="G29" s="14"/>
      <c r="H29" s="184"/>
    </row>
    <row r="30" spans="1:8" ht="27" customHeight="1" x14ac:dyDescent="0.25">
      <c r="A30" s="613" t="s">
        <v>543</v>
      </c>
      <c r="B30" s="614"/>
      <c r="C30" s="608" t="s">
        <v>570</v>
      </c>
      <c r="D30" s="609"/>
      <c r="E30" s="609"/>
      <c r="F30" s="610"/>
      <c r="G30" s="14"/>
      <c r="H30" s="184"/>
    </row>
    <row r="31" spans="1:8" ht="27" customHeight="1" x14ac:dyDescent="0.25">
      <c r="A31" s="613" t="s">
        <v>544</v>
      </c>
      <c r="B31" s="614"/>
      <c r="C31" s="608" t="s">
        <v>571</v>
      </c>
      <c r="D31" s="609"/>
      <c r="E31" s="609"/>
      <c r="F31" s="610"/>
      <c r="G31" s="14"/>
      <c r="H31" s="184"/>
    </row>
    <row r="32" spans="1:8" ht="27" customHeight="1" x14ac:dyDescent="0.25">
      <c r="A32" s="613" t="s">
        <v>537</v>
      </c>
      <c r="B32" s="614"/>
      <c r="C32" s="608" t="s">
        <v>538</v>
      </c>
      <c r="D32" s="609"/>
      <c r="E32" s="609"/>
      <c r="F32" s="610"/>
      <c r="G32" s="14"/>
      <c r="H32" s="184"/>
    </row>
    <row r="33" spans="1:8" ht="27" customHeight="1" x14ac:dyDescent="0.25">
      <c r="A33" s="613" t="s">
        <v>545</v>
      </c>
      <c r="B33" s="614"/>
      <c r="C33" s="608" t="s">
        <v>616</v>
      </c>
      <c r="D33" s="609"/>
      <c r="E33" s="609"/>
      <c r="F33" s="610"/>
      <c r="G33" s="14"/>
      <c r="H33" s="184"/>
    </row>
    <row r="34" spans="1:8" ht="27" customHeight="1" x14ac:dyDescent="0.25">
      <c r="A34" s="613" t="s">
        <v>546</v>
      </c>
      <c r="B34" s="614"/>
      <c r="C34" s="608" t="s">
        <v>572</v>
      </c>
      <c r="D34" s="609"/>
      <c r="E34" s="609"/>
      <c r="F34" s="610"/>
      <c r="G34" s="14"/>
      <c r="H34" s="184"/>
    </row>
    <row r="35" spans="1:8" ht="27" customHeight="1" x14ac:dyDescent="0.25">
      <c r="A35" s="613" t="s">
        <v>547</v>
      </c>
      <c r="B35" s="614"/>
      <c r="C35" s="608" t="s">
        <v>573</v>
      </c>
      <c r="D35" s="609"/>
      <c r="E35" s="609"/>
      <c r="F35" s="610"/>
      <c r="G35" s="14"/>
      <c r="H35" s="184"/>
    </row>
    <row r="36" spans="1:8" ht="27" customHeight="1" x14ac:dyDescent="0.25">
      <c r="A36" s="613" t="s">
        <v>548</v>
      </c>
      <c r="B36" s="614"/>
      <c r="C36" s="608" t="s">
        <v>617</v>
      </c>
      <c r="D36" s="609"/>
      <c r="E36" s="609"/>
      <c r="F36" s="610"/>
      <c r="G36" s="14"/>
      <c r="H36" s="184"/>
    </row>
    <row r="37" spans="1:8" ht="27" customHeight="1" x14ac:dyDescent="0.25">
      <c r="A37" s="613" t="s">
        <v>549</v>
      </c>
      <c r="B37" s="614"/>
      <c r="C37" s="608" t="s">
        <v>618</v>
      </c>
      <c r="D37" s="609"/>
      <c r="E37" s="609"/>
      <c r="F37" s="610"/>
      <c r="G37" s="14"/>
      <c r="H37" s="184"/>
    </row>
    <row r="38" spans="1:8" ht="27" customHeight="1" x14ac:dyDescent="0.25">
      <c r="A38" s="613" t="s">
        <v>550</v>
      </c>
      <c r="B38" s="614"/>
      <c r="C38" s="608" t="s">
        <v>619</v>
      </c>
      <c r="D38" s="609"/>
      <c r="E38" s="609"/>
      <c r="F38" s="610"/>
      <c r="G38" s="14"/>
      <c r="H38" s="184"/>
    </row>
    <row r="39" spans="1:8" ht="27" customHeight="1" x14ac:dyDescent="0.25">
      <c r="A39" s="613" t="s">
        <v>551</v>
      </c>
      <c r="B39" s="614"/>
      <c r="C39" s="608" t="s">
        <v>620</v>
      </c>
      <c r="D39" s="609"/>
      <c r="E39" s="609"/>
      <c r="F39" s="610"/>
      <c r="G39" s="14"/>
      <c r="H39" s="184"/>
    </row>
    <row r="40" spans="1:8" ht="27" customHeight="1" x14ac:dyDescent="0.25">
      <c r="A40" s="613" t="s">
        <v>552</v>
      </c>
      <c r="B40" s="614"/>
      <c r="C40" s="608" t="s">
        <v>621</v>
      </c>
      <c r="D40" s="609"/>
      <c r="E40" s="609"/>
      <c r="F40" s="610"/>
      <c r="G40" s="14"/>
      <c r="H40" s="184"/>
    </row>
    <row r="41" spans="1:8" ht="27" customHeight="1" x14ac:dyDescent="0.25">
      <c r="A41" s="606" t="s">
        <v>640</v>
      </c>
      <c r="B41" s="607"/>
      <c r="C41" s="603" t="s">
        <v>621</v>
      </c>
      <c r="D41" s="604"/>
      <c r="E41" s="604"/>
      <c r="F41" s="605"/>
      <c r="G41" s="14"/>
      <c r="H41" s="184"/>
    </row>
    <row r="42" spans="1:8" ht="27" customHeight="1" x14ac:dyDescent="0.25">
      <c r="A42" s="613" t="s">
        <v>553</v>
      </c>
      <c r="B42" s="614"/>
      <c r="C42" s="608" t="s">
        <v>622</v>
      </c>
      <c r="D42" s="609"/>
      <c r="E42" s="609"/>
      <c r="F42" s="610"/>
      <c r="G42" s="14"/>
      <c r="H42" s="184"/>
    </row>
    <row r="43" spans="1:8" ht="27" customHeight="1" x14ac:dyDescent="0.25">
      <c r="A43" s="613" t="s">
        <v>554</v>
      </c>
      <c r="B43" s="614"/>
      <c r="C43" s="608" t="s">
        <v>623</v>
      </c>
      <c r="D43" s="609"/>
      <c r="E43" s="609"/>
      <c r="F43" s="610"/>
      <c r="G43" s="14"/>
      <c r="H43" s="184"/>
    </row>
    <row r="44" spans="1:8" ht="27" customHeight="1" x14ac:dyDescent="0.25">
      <c r="A44" s="613" t="s">
        <v>555</v>
      </c>
      <c r="B44" s="614"/>
      <c r="C44" s="608" t="s">
        <v>624</v>
      </c>
      <c r="D44" s="609"/>
      <c r="E44" s="609"/>
      <c r="F44" s="610"/>
      <c r="G44" s="14"/>
      <c r="H44" s="184"/>
    </row>
    <row r="45" spans="1:8" ht="27" customHeight="1" x14ac:dyDescent="0.25">
      <c r="A45" s="613" t="s">
        <v>556</v>
      </c>
      <c r="B45" s="614"/>
      <c r="C45" s="608" t="s">
        <v>625</v>
      </c>
      <c r="D45" s="609"/>
      <c r="E45" s="609"/>
      <c r="F45" s="610"/>
      <c r="G45" s="14"/>
      <c r="H45" s="184"/>
    </row>
    <row r="46" spans="1:8" ht="27" customHeight="1" x14ac:dyDescent="0.25">
      <c r="A46" s="606" t="s">
        <v>642</v>
      </c>
      <c r="B46" s="607"/>
      <c r="C46" s="603" t="s">
        <v>625</v>
      </c>
      <c r="D46" s="604"/>
      <c r="E46" s="604"/>
      <c r="F46" s="605"/>
      <c r="G46" s="14"/>
      <c r="H46" s="184"/>
    </row>
    <row r="47" spans="1:8" ht="27" customHeight="1" x14ac:dyDescent="0.25">
      <c r="A47" s="606" t="s">
        <v>643</v>
      </c>
      <c r="B47" s="607"/>
      <c r="C47" s="603" t="s">
        <v>625</v>
      </c>
      <c r="D47" s="604"/>
      <c r="E47" s="604"/>
      <c r="F47" s="605"/>
      <c r="G47" s="14"/>
      <c r="H47" s="184"/>
    </row>
    <row r="48" spans="1:8" ht="27" customHeight="1" x14ac:dyDescent="0.25">
      <c r="A48" s="613" t="s">
        <v>557</v>
      </c>
      <c r="B48" s="614"/>
      <c r="C48" s="608" t="s">
        <v>626</v>
      </c>
      <c r="D48" s="609"/>
      <c r="E48" s="609"/>
      <c r="F48" s="610"/>
      <c r="G48" s="14"/>
      <c r="H48" s="184"/>
    </row>
    <row r="49" spans="1:8" ht="27" customHeight="1" x14ac:dyDescent="0.25">
      <c r="A49" s="613" t="s">
        <v>558</v>
      </c>
      <c r="B49" s="614"/>
      <c r="C49" s="608" t="s">
        <v>627</v>
      </c>
      <c r="D49" s="609"/>
      <c r="E49" s="609"/>
      <c r="F49" s="610"/>
      <c r="G49" s="14"/>
      <c r="H49" s="184"/>
    </row>
    <row r="50" spans="1:8" ht="27" customHeight="1" x14ac:dyDescent="0.25">
      <c r="A50" s="613" t="s">
        <v>559</v>
      </c>
      <c r="B50" s="614"/>
      <c r="C50" s="608" t="s">
        <v>628</v>
      </c>
      <c r="D50" s="609"/>
      <c r="E50" s="609"/>
      <c r="F50" s="610"/>
      <c r="G50" s="14"/>
      <c r="H50" s="184"/>
    </row>
    <row r="51" spans="1:8" ht="27" customHeight="1" x14ac:dyDescent="0.25">
      <c r="A51" s="613" t="s">
        <v>560</v>
      </c>
      <c r="B51" s="614"/>
      <c r="C51" s="608" t="s">
        <v>574</v>
      </c>
      <c r="D51" s="609"/>
      <c r="E51" s="609"/>
      <c r="F51" s="610"/>
      <c r="G51" s="14"/>
      <c r="H51" s="184"/>
    </row>
    <row r="52" spans="1:8" ht="27" customHeight="1" x14ac:dyDescent="0.25">
      <c r="A52" s="613" t="s">
        <v>561</v>
      </c>
      <c r="B52" s="614"/>
      <c r="C52" s="608" t="s">
        <v>629</v>
      </c>
      <c r="D52" s="609"/>
      <c r="E52" s="609"/>
      <c r="F52" s="610"/>
      <c r="G52" s="14"/>
      <c r="H52" s="184"/>
    </row>
    <row r="53" spans="1:8" ht="27" customHeight="1" x14ac:dyDescent="0.25">
      <c r="A53" s="613" t="s">
        <v>562</v>
      </c>
      <c r="B53" s="614"/>
      <c r="C53" s="608" t="s">
        <v>630</v>
      </c>
      <c r="D53" s="609"/>
      <c r="E53" s="609"/>
      <c r="F53" s="610"/>
      <c r="G53" s="14"/>
      <c r="H53" s="184"/>
    </row>
    <row r="54" spans="1:8" ht="48" customHeight="1" x14ac:dyDescent="0.25">
      <c r="A54" s="613" t="s">
        <v>563</v>
      </c>
      <c r="B54" s="614"/>
      <c r="C54" s="608" t="s">
        <v>631</v>
      </c>
      <c r="D54" s="609"/>
      <c r="E54" s="609"/>
      <c r="F54" s="610"/>
      <c r="G54" s="14"/>
      <c r="H54" s="184"/>
    </row>
    <row r="55" spans="1:8" ht="27" customHeight="1" x14ac:dyDescent="0.25">
      <c r="A55" s="613" t="s">
        <v>564</v>
      </c>
      <c r="B55" s="614"/>
      <c r="C55" s="608" t="s">
        <v>632</v>
      </c>
      <c r="D55" s="609"/>
      <c r="E55" s="609"/>
      <c r="F55" s="610"/>
      <c r="G55" s="14"/>
      <c r="H55" s="184"/>
    </row>
    <row r="56" spans="1:8" ht="27" customHeight="1" x14ac:dyDescent="0.25">
      <c r="A56" s="613" t="s">
        <v>565</v>
      </c>
      <c r="B56" s="614"/>
      <c r="C56" s="608" t="s">
        <v>633</v>
      </c>
      <c r="D56" s="609"/>
      <c r="E56" s="609"/>
      <c r="F56" s="610"/>
      <c r="G56" s="14"/>
      <c r="H56" s="184"/>
    </row>
    <row r="57" spans="1:8" ht="27" customHeight="1" x14ac:dyDescent="0.25">
      <c r="A57" s="613" t="s">
        <v>566</v>
      </c>
      <c r="B57" s="614"/>
      <c r="C57" s="608" t="s">
        <v>634</v>
      </c>
      <c r="D57" s="609"/>
      <c r="E57" s="609"/>
      <c r="F57" s="610"/>
      <c r="G57" s="14"/>
      <c r="H57" s="184"/>
    </row>
    <row r="58" spans="1:8" ht="27" customHeight="1" x14ac:dyDescent="0.25">
      <c r="A58" s="613" t="s">
        <v>567</v>
      </c>
      <c r="B58" s="614"/>
      <c r="C58" s="608" t="s">
        <v>635</v>
      </c>
      <c r="D58" s="609"/>
      <c r="E58" s="609"/>
      <c r="F58" s="610"/>
      <c r="G58" s="14"/>
      <c r="H58" s="184"/>
    </row>
    <row r="59" spans="1:8" ht="27" customHeight="1" x14ac:dyDescent="0.25">
      <c r="A59" s="622"/>
      <c r="B59" s="623"/>
      <c r="C59" s="624"/>
      <c r="D59" s="625"/>
      <c r="E59" s="625"/>
      <c r="F59" s="626"/>
      <c r="G59" s="14"/>
      <c r="H59" s="184"/>
    </row>
    <row r="60" spans="1:8" ht="24" customHeight="1" x14ac:dyDescent="0.25">
      <c r="G60" s="14"/>
      <c r="H60" s="184"/>
    </row>
    <row r="61" spans="1:8" ht="13.5" customHeight="1" x14ac:dyDescent="0.25">
      <c r="A61" s="601"/>
      <c r="B61" s="601"/>
      <c r="C61" s="601"/>
      <c r="D61" s="601"/>
      <c r="E61" s="601"/>
      <c r="F61" s="601"/>
      <c r="G61" s="14"/>
      <c r="H61" s="184"/>
    </row>
    <row r="62" spans="1:8" ht="24" customHeight="1" x14ac:dyDescent="0.25">
      <c r="A62" s="14"/>
      <c r="B62" s="14"/>
      <c r="C62" s="14"/>
      <c r="D62" s="14"/>
      <c r="E62" s="194"/>
      <c r="F62" s="194"/>
      <c r="G62" s="14"/>
      <c r="H62" s="184"/>
    </row>
    <row r="63" spans="1:8" ht="24" customHeight="1" x14ac:dyDescent="0.25">
      <c r="A63" s="14"/>
      <c r="B63" s="14"/>
      <c r="C63" s="14"/>
      <c r="D63" s="14"/>
      <c r="E63" s="194"/>
      <c r="F63" s="194"/>
      <c r="G63" s="14"/>
      <c r="H63" s="184"/>
    </row>
    <row r="64" spans="1:8" ht="24" customHeight="1" x14ac:dyDescent="0.25">
      <c r="A64" s="14"/>
      <c r="B64" s="14"/>
      <c r="C64" s="14"/>
      <c r="D64" s="14"/>
      <c r="E64" s="194"/>
      <c r="F64" s="194"/>
      <c r="G64" s="14"/>
      <c r="H64" s="184"/>
    </row>
    <row r="65" spans="1:8" ht="24" customHeight="1" x14ac:dyDescent="0.25">
      <c r="A65" s="14"/>
      <c r="B65" s="14"/>
      <c r="C65" s="14"/>
      <c r="D65" s="14"/>
      <c r="E65" s="194"/>
      <c r="F65" s="194"/>
      <c r="G65" s="14"/>
      <c r="H65" s="184"/>
    </row>
    <row r="66" spans="1:8" ht="24" customHeight="1" x14ac:dyDescent="0.25">
      <c r="H66" s="184"/>
    </row>
  </sheetData>
  <sortState ref="A47:G65">
    <sortCondition ref="A47:A65"/>
  </sortState>
  <mergeCells count="107">
    <mergeCell ref="E14:F14"/>
    <mergeCell ref="B14:D14"/>
    <mergeCell ref="B15:D15"/>
    <mergeCell ref="B16:D16"/>
    <mergeCell ref="A32:B32"/>
    <mergeCell ref="A33:B33"/>
    <mergeCell ref="A28:B28"/>
    <mergeCell ref="E17:F17"/>
    <mergeCell ref="E18:F18"/>
    <mergeCell ref="E19:F19"/>
    <mergeCell ref="E20:F20"/>
    <mergeCell ref="A22:F22"/>
    <mergeCell ref="E15:F15"/>
    <mergeCell ref="E16:F16"/>
    <mergeCell ref="A23:B23"/>
    <mergeCell ref="A26:B26"/>
    <mergeCell ref="C25:F25"/>
    <mergeCell ref="C26:F26"/>
    <mergeCell ref="C27:F27"/>
    <mergeCell ref="C28:F28"/>
    <mergeCell ref="C29:F29"/>
    <mergeCell ref="C30:F30"/>
    <mergeCell ref="C31:F31"/>
    <mergeCell ref="C32:F32"/>
    <mergeCell ref="A31:B31"/>
    <mergeCell ref="C23:F23"/>
    <mergeCell ref="C24:F24"/>
    <mergeCell ref="A48:B48"/>
    <mergeCell ref="A34:B34"/>
    <mergeCell ref="A35:B35"/>
    <mergeCell ref="A36:B36"/>
    <mergeCell ref="A37:B37"/>
    <mergeCell ref="A39:B39"/>
    <mergeCell ref="C34:F34"/>
    <mergeCell ref="C35:F35"/>
    <mergeCell ref="C44:F44"/>
    <mergeCell ref="C45:F45"/>
    <mergeCell ref="C42:F42"/>
    <mergeCell ref="C33:F33"/>
    <mergeCell ref="A41:B41"/>
    <mergeCell ref="C41:F41"/>
    <mergeCell ref="B17:D17"/>
    <mergeCell ref="B18:D18"/>
    <mergeCell ref="B19:D19"/>
    <mergeCell ref="B20:D20"/>
    <mergeCell ref="A24:B24"/>
    <mergeCell ref="A25:B25"/>
    <mergeCell ref="A30:B30"/>
    <mergeCell ref="A29:B29"/>
    <mergeCell ref="A27:B27"/>
    <mergeCell ref="A57:B57"/>
    <mergeCell ref="A56:B56"/>
    <mergeCell ref="C57:F57"/>
    <mergeCell ref="C58:F58"/>
    <mergeCell ref="C59:F59"/>
    <mergeCell ref="A53:B53"/>
    <mergeCell ref="A54:B54"/>
    <mergeCell ref="A51:B51"/>
    <mergeCell ref="A52:B52"/>
    <mergeCell ref="A2:F3"/>
    <mergeCell ref="A4:F4"/>
    <mergeCell ref="A50:B50"/>
    <mergeCell ref="A49:B49"/>
    <mergeCell ref="A45:B45"/>
    <mergeCell ref="A44:B44"/>
    <mergeCell ref="A43:B43"/>
    <mergeCell ref="A42:B42"/>
    <mergeCell ref="A38:B38"/>
    <mergeCell ref="A40:B40"/>
    <mergeCell ref="E7:F7"/>
    <mergeCell ref="E9:F9"/>
    <mergeCell ref="E10:F10"/>
    <mergeCell ref="E11:F11"/>
    <mergeCell ref="E12:F12"/>
    <mergeCell ref="E13:F13"/>
    <mergeCell ref="E8:F8"/>
    <mergeCell ref="B10:D10"/>
    <mergeCell ref="B11:D11"/>
    <mergeCell ref="B7:D7"/>
    <mergeCell ref="B8:D8"/>
    <mergeCell ref="B12:D12"/>
    <mergeCell ref="B13:D13"/>
    <mergeCell ref="C43:F43"/>
    <mergeCell ref="A61:F61"/>
    <mergeCell ref="A5:F5"/>
    <mergeCell ref="C46:F46"/>
    <mergeCell ref="A46:B46"/>
    <mergeCell ref="A47:B47"/>
    <mergeCell ref="C47:F47"/>
    <mergeCell ref="C48:F48"/>
    <mergeCell ref="C49:F49"/>
    <mergeCell ref="C50:F50"/>
    <mergeCell ref="C51:F51"/>
    <mergeCell ref="C52:F52"/>
    <mergeCell ref="C53:F53"/>
    <mergeCell ref="C54:F54"/>
    <mergeCell ref="C55:F55"/>
    <mergeCell ref="C56:F56"/>
    <mergeCell ref="C36:F36"/>
    <mergeCell ref="C37:F37"/>
    <mergeCell ref="C38:F38"/>
    <mergeCell ref="C39:F39"/>
    <mergeCell ref="C40:F40"/>
    <mergeCell ref="B9:D9"/>
    <mergeCell ref="A59:B59"/>
    <mergeCell ref="A55:B55"/>
    <mergeCell ref="A58:B58"/>
  </mergeCells>
  <phoneticPr fontId="48" type="noConversion"/>
  <printOptions horizontalCentered="1"/>
  <pageMargins left="0.39370078740157483" right="0.39370078740157483" top="0.59055118110236227" bottom="0.59055118110236227" header="0.19685039370078741" footer="0.19685039370078741"/>
  <pageSetup paperSize="9" scale="56" orientation="portrait" r:id="rId1"/>
  <headerFooter alignWithMargins="0">
    <oddHeader>&amp;L&amp;"Arial Narrow,Normal"&amp;8
 UTC  - Master Qualité -  www.utc.fr/master-qualite &amp;COnglet : &amp;A&amp;RFichier : &amp;F</oddHeader>
    <oddFooter>&amp;L&amp;"Arial Narrow,Normal"&amp;8Version de Juin 2018&amp;C&amp;"Arial Narrow,Normal"&amp;8©2018 : Master 2 Qualité et Performance dans les Organisations&amp;R&amp;"Arial Narrow,Normal"&amp;8
&amp;P/&amp;N</oddFooter>
  </headerFooter>
  <rowBreaks count="1" manualBreakCount="1">
    <brk id="20"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ED1C24"/>
  </sheetPr>
  <dimension ref="A1:CE172"/>
  <sheetViews>
    <sheetView showGridLines="0" tabSelected="1" topLeftCell="A49" zoomScaleNormal="100" zoomScaleSheetLayoutView="100" zoomScalePageLayoutView="80" workbookViewId="0">
      <selection activeCell="U14" activeCellId="4" sqref="U30:U36 U23:U27 U20:U21 U16:U18 U13:U14"/>
    </sheetView>
  </sheetViews>
  <sheetFormatPr baseColWidth="10" defaultColWidth="10.7109375" defaultRowHeight="15" outlineLevelCol="1" x14ac:dyDescent="0.25"/>
  <cols>
    <col min="1" max="1" width="0.5703125" style="37" customWidth="1"/>
    <col min="2" max="2" width="5.7109375" style="227" customWidth="1"/>
    <col min="3" max="3" width="3.7109375" style="227" bestFit="1" customWidth="1"/>
    <col min="4" max="4" width="43" style="227" customWidth="1"/>
    <col min="5" max="20" width="8.7109375" style="37" hidden="1" customWidth="1" outlineLevel="1"/>
    <col min="21" max="21" width="13.42578125" style="37" customWidth="1" collapsed="1"/>
    <col min="22" max="22" width="14.5703125" style="376" customWidth="1" outlineLevel="1"/>
    <col min="23" max="23" width="36" style="37" customWidth="1" outlineLevel="1"/>
    <col min="24" max="24" width="54.28515625" style="37" customWidth="1"/>
    <col min="25" max="25" width="10.140625" style="37" customWidth="1"/>
    <col min="26" max="26" width="8" style="37" customWidth="1"/>
    <col min="27" max="27" width="27.5703125" style="37" customWidth="1"/>
    <col min="28" max="30" width="17" style="37" customWidth="1"/>
    <col min="31" max="31" width="12" style="37" customWidth="1"/>
    <col min="32" max="33" width="14.28515625" style="37" customWidth="1"/>
    <col min="34" max="34" width="17" style="37" customWidth="1"/>
    <col min="35" max="35" width="1.28515625" style="37" customWidth="1"/>
    <col min="36" max="36" width="29.140625" style="37" customWidth="1"/>
    <col min="37" max="37" width="55.5703125" style="168" customWidth="1"/>
    <col min="38" max="39" width="10.7109375" style="503" customWidth="1"/>
    <col min="40" max="40" width="5" style="503" customWidth="1"/>
    <col min="41" max="41" width="10.7109375" style="503" customWidth="1"/>
    <col min="42" max="42" width="8.85546875" style="503" customWidth="1"/>
    <col min="43" max="43" width="16.85546875" style="503" customWidth="1"/>
    <col min="44" max="44" width="17.5703125" style="503" customWidth="1"/>
    <col min="45" max="45" width="12.5703125" style="503" customWidth="1"/>
    <col min="46" max="46" width="3.140625" style="503" customWidth="1"/>
    <col min="47" max="47" width="16.85546875" style="503" customWidth="1"/>
    <col min="48" max="48" width="20.7109375" style="503" customWidth="1"/>
    <col min="49" max="52" width="10.7109375" style="503" customWidth="1"/>
    <col min="53" max="53" width="10.7109375" style="496" customWidth="1"/>
    <col min="54" max="60" width="10.7109375" style="496"/>
    <col min="61" max="83" width="10.7109375" style="168"/>
    <col min="84" max="16384" width="10.7109375" style="37"/>
  </cols>
  <sheetData>
    <row r="1" spans="2:83" x14ac:dyDescent="0.25">
      <c r="B1" s="221" t="str">
        <f>Présentation!A1</f>
        <v>Document basé sur la norme EN9100</v>
      </c>
      <c r="D1" s="228"/>
      <c r="E1" s="35"/>
      <c r="F1" s="35"/>
      <c r="G1" s="35"/>
      <c r="H1" s="35"/>
      <c r="I1" s="35"/>
      <c r="J1" s="35"/>
      <c r="K1" s="35"/>
      <c r="L1" s="35"/>
      <c r="M1" s="35"/>
      <c r="N1" s="35"/>
      <c r="O1" s="35"/>
      <c r="P1" s="35"/>
      <c r="Q1" s="35"/>
      <c r="R1" s="35"/>
      <c r="S1" s="35"/>
      <c r="T1" s="35"/>
      <c r="U1" s="35"/>
      <c r="V1" s="35"/>
      <c r="W1" s="36"/>
      <c r="X1" s="447" t="str">
        <f>Présentation!I1</f>
        <v>Enregistrement qualité :  A4 100% vertical</v>
      </c>
      <c r="Y1" s="446" t="str">
        <f>Présentation!A1</f>
        <v>Document basé sur la norme EN9100</v>
      </c>
      <c r="Z1" s="35"/>
      <c r="AA1" s="35"/>
      <c r="AB1" s="36"/>
      <c r="AC1" s="36"/>
      <c r="AD1" s="36"/>
      <c r="AE1" s="36"/>
      <c r="AF1" s="36"/>
      <c r="AG1" s="36"/>
      <c r="AH1" s="413" t="str">
        <f>Présentation!I1</f>
        <v>Enregistrement qualité :  A4 100% vertical</v>
      </c>
      <c r="AJ1" s="38"/>
      <c r="AL1" s="499"/>
      <c r="AM1" s="499"/>
      <c r="AN1" s="499"/>
      <c r="AO1" s="499"/>
      <c r="AP1" s="499"/>
      <c r="AQ1" s="499"/>
      <c r="AR1" s="500"/>
      <c r="AS1" s="499"/>
      <c r="AT1" s="499"/>
      <c r="AU1" s="499"/>
      <c r="AV1" s="499"/>
      <c r="AW1" s="499"/>
      <c r="AX1" s="499"/>
      <c r="AY1" s="499"/>
      <c r="AZ1" s="499"/>
    </row>
    <row r="2" spans="2:83" ht="23.1" customHeight="1" x14ac:dyDescent="0.25">
      <c r="B2" s="260"/>
      <c r="C2" s="661" t="s">
        <v>614</v>
      </c>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3"/>
      <c r="AJ2" s="38"/>
      <c r="AL2" s="499"/>
      <c r="AM2" s="499"/>
      <c r="AN2" s="499"/>
      <c r="AO2" s="499"/>
      <c r="AP2" s="499"/>
      <c r="AQ2" s="499"/>
      <c r="AR2" s="500"/>
      <c r="AS2" s="499"/>
      <c r="AT2" s="499"/>
      <c r="AU2" s="499"/>
      <c r="AV2" s="499"/>
      <c r="AW2" s="501"/>
      <c r="AX2" s="502"/>
      <c r="AY2" s="501"/>
      <c r="AZ2" s="501"/>
    </row>
    <row r="3" spans="2:83" ht="14.1" customHeight="1" x14ac:dyDescent="0.25">
      <c r="B3" s="261"/>
      <c r="C3" s="393"/>
      <c r="D3" s="392" t="str">
        <f>Présentation!A7</f>
        <v>Etablissement :</v>
      </c>
      <c r="E3" s="324"/>
      <c r="F3" s="324"/>
      <c r="G3" s="324"/>
      <c r="H3" s="324"/>
      <c r="I3" s="324"/>
      <c r="J3" s="324"/>
      <c r="K3" s="324"/>
      <c r="L3" s="324"/>
      <c r="M3" s="324"/>
      <c r="N3" s="324"/>
      <c r="O3" s="324"/>
      <c r="P3" s="324"/>
      <c r="Q3" s="324"/>
      <c r="R3" s="324"/>
      <c r="S3" s="324"/>
      <c r="T3" s="324"/>
      <c r="U3" s="676" t="str">
        <f>Présentation!D7</f>
        <v>Nom de l'établissement / entreprise / service...</v>
      </c>
      <c r="V3" s="676"/>
      <c r="W3" s="676"/>
      <c r="X3" s="676"/>
      <c r="Y3" s="676"/>
      <c r="Z3" s="676"/>
      <c r="AA3" s="677"/>
      <c r="AB3" s="431"/>
      <c r="AC3" s="431"/>
      <c r="AD3" s="697"/>
      <c r="AE3" s="698"/>
      <c r="AF3" s="698"/>
      <c r="AG3" s="431"/>
      <c r="AH3" s="694" t="s">
        <v>37</v>
      </c>
      <c r="AJ3" s="38"/>
      <c r="AL3" s="499"/>
      <c r="AM3" s="499"/>
      <c r="AN3" s="499"/>
      <c r="AO3" s="499"/>
      <c r="AP3" s="499"/>
      <c r="AQ3" s="499"/>
      <c r="AR3" s="500"/>
      <c r="AS3" s="499"/>
      <c r="AT3" s="499"/>
      <c r="AU3" s="499"/>
      <c r="AV3" s="499"/>
      <c r="AW3" s="499"/>
      <c r="AX3" s="499"/>
      <c r="AY3" s="499"/>
      <c r="AZ3" s="499"/>
    </row>
    <row r="4" spans="2:83" ht="14.1" customHeight="1" x14ac:dyDescent="0.25">
      <c r="B4" s="262"/>
      <c r="C4" s="664" t="s">
        <v>3</v>
      </c>
      <c r="D4" s="665"/>
      <c r="E4" s="350"/>
      <c r="F4" s="351"/>
      <c r="G4" s="351"/>
      <c r="H4" s="351"/>
      <c r="I4" s="351"/>
      <c r="J4" s="351"/>
      <c r="K4" s="351"/>
      <c r="L4" s="351"/>
      <c r="M4" s="351"/>
      <c r="N4" s="351"/>
      <c r="O4" s="351"/>
      <c r="P4" s="351"/>
      <c r="Q4" s="351"/>
      <c r="R4" s="351"/>
      <c r="S4" s="351"/>
      <c r="T4" s="351"/>
      <c r="U4" s="678"/>
      <c r="V4" s="678"/>
      <c r="W4" s="678"/>
      <c r="X4" s="678"/>
      <c r="Y4" s="678"/>
      <c r="Z4" s="678"/>
      <c r="AA4" s="679"/>
      <c r="AB4" s="432"/>
      <c r="AC4" s="432"/>
      <c r="AD4" s="699"/>
      <c r="AE4" s="700"/>
      <c r="AF4" s="700"/>
      <c r="AG4" s="432"/>
      <c r="AH4" s="695"/>
      <c r="AJ4" s="38"/>
      <c r="AL4" s="499"/>
      <c r="AM4" s="499"/>
      <c r="AN4" s="499"/>
      <c r="AO4" s="499"/>
      <c r="AP4" s="499"/>
      <c r="AQ4" s="499"/>
      <c r="AR4" s="500"/>
      <c r="AS4" s="499"/>
      <c r="AT4" s="499"/>
      <c r="AU4" s="499"/>
      <c r="AV4" s="499"/>
      <c r="AW4" s="499"/>
      <c r="AX4" s="499"/>
      <c r="AY4" s="499"/>
      <c r="AZ4" s="499"/>
    </row>
    <row r="5" spans="2:83" ht="14.1" customHeight="1" x14ac:dyDescent="0.25">
      <c r="B5" s="263"/>
      <c r="C5" s="666" t="s">
        <v>36</v>
      </c>
      <c r="D5" s="667"/>
      <c r="E5" s="257"/>
      <c r="F5" s="257"/>
      <c r="G5" s="257"/>
      <c r="H5" s="257"/>
      <c r="I5" s="257"/>
      <c r="J5" s="257"/>
      <c r="K5" s="257"/>
      <c r="L5" s="257"/>
      <c r="M5" s="257"/>
      <c r="N5" s="257"/>
      <c r="O5" s="257"/>
      <c r="P5" s="257"/>
      <c r="Q5" s="257"/>
      <c r="R5" s="257"/>
      <c r="S5" s="257"/>
      <c r="T5" s="323"/>
      <c r="U5" s="680" t="s">
        <v>46</v>
      </c>
      <c r="V5" s="680"/>
      <c r="W5" s="680"/>
      <c r="X5" s="680"/>
      <c r="Y5" s="680"/>
      <c r="Z5" s="680"/>
      <c r="AA5" s="681"/>
      <c r="AB5" s="432"/>
      <c r="AC5" s="432"/>
      <c r="AD5" s="699"/>
      <c r="AE5" s="700"/>
      <c r="AF5" s="700"/>
      <c r="AG5" s="432"/>
      <c r="AH5" s="695"/>
      <c r="AJ5" s="38"/>
      <c r="AL5" s="499"/>
      <c r="AM5" s="499"/>
      <c r="AN5" s="499"/>
      <c r="AO5" s="499"/>
      <c r="AP5" s="499"/>
      <c r="AQ5" s="499"/>
      <c r="AR5" s="500"/>
      <c r="AS5" s="499"/>
      <c r="AT5" s="499"/>
      <c r="AU5" s="499"/>
      <c r="AV5" s="499"/>
      <c r="AW5" s="499"/>
      <c r="AX5" s="499"/>
      <c r="AY5" s="499"/>
      <c r="AZ5" s="499"/>
    </row>
    <row r="6" spans="2:83" ht="14.1" customHeight="1" x14ac:dyDescent="0.25">
      <c r="B6" s="264"/>
      <c r="C6" s="668"/>
      <c r="D6" s="669"/>
      <c r="E6" s="256"/>
      <c r="F6" s="256"/>
      <c r="G6" s="256"/>
      <c r="H6" s="256"/>
      <c r="I6" s="256"/>
      <c r="J6" s="256"/>
      <c r="K6" s="256"/>
      <c r="L6" s="256"/>
      <c r="M6" s="256"/>
      <c r="N6" s="256"/>
      <c r="O6" s="256"/>
      <c r="P6" s="256"/>
      <c r="Q6" s="256"/>
      <c r="R6" s="256"/>
      <c r="S6" s="256"/>
      <c r="T6" s="322"/>
      <c r="U6" s="645" t="s">
        <v>47</v>
      </c>
      <c r="V6" s="645"/>
      <c r="W6" s="645"/>
      <c r="X6" s="645" t="s">
        <v>48</v>
      </c>
      <c r="Y6" s="645"/>
      <c r="Z6" s="645"/>
      <c r="AA6" s="693"/>
      <c r="AB6" s="432"/>
      <c r="AC6" s="432"/>
      <c r="AD6" s="699"/>
      <c r="AE6" s="700"/>
      <c r="AF6" s="700"/>
      <c r="AG6" s="432"/>
      <c r="AH6" s="695"/>
      <c r="AJ6" s="38"/>
      <c r="AL6" s="499"/>
      <c r="AM6" s="499"/>
      <c r="AN6" s="499"/>
      <c r="AO6" s="499"/>
      <c r="AP6" s="499"/>
      <c r="AQ6" s="499"/>
      <c r="AR6" s="500"/>
      <c r="AS6" s="499"/>
      <c r="AT6" s="499"/>
      <c r="AU6" s="499"/>
      <c r="AV6" s="499"/>
      <c r="AW6" s="499"/>
      <c r="AX6" s="499"/>
      <c r="AY6" s="499"/>
      <c r="AZ6" s="499"/>
    </row>
    <row r="7" spans="2:83" ht="14.1" customHeight="1" x14ac:dyDescent="0.25">
      <c r="B7" s="265"/>
      <c r="C7" s="670" t="s">
        <v>254</v>
      </c>
      <c r="D7" s="671"/>
      <c r="E7" s="258"/>
      <c r="F7" s="258"/>
      <c r="G7" s="258"/>
      <c r="H7" s="258"/>
      <c r="I7" s="258"/>
      <c r="J7" s="258"/>
      <c r="K7" s="258"/>
      <c r="L7" s="258"/>
      <c r="M7" s="258"/>
      <c r="N7" s="258"/>
      <c r="O7" s="258"/>
      <c r="P7" s="258"/>
      <c r="Q7" s="258"/>
      <c r="R7" s="258"/>
      <c r="S7" s="258"/>
      <c r="T7" s="324"/>
      <c r="U7" s="682" t="s">
        <v>56</v>
      </c>
      <c r="V7" s="682"/>
      <c r="W7" s="682"/>
      <c r="X7" s="682"/>
      <c r="Y7" s="682"/>
      <c r="Z7" s="682"/>
      <c r="AA7" s="683"/>
      <c r="AB7" s="432"/>
      <c r="AC7" s="432"/>
      <c r="AD7" s="699"/>
      <c r="AE7" s="700"/>
      <c r="AF7" s="700"/>
      <c r="AG7" s="432"/>
      <c r="AH7" s="695"/>
      <c r="AJ7" s="38"/>
      <c r="AL7" s="499"/>
      <c r="AM7" s="499"/>
      <c r="AN7" s="499"/>
      <c r="AO7" s="499"/>
      <c r="AP7" s="499"/>
      <c r="AQ7" s="499"/>
      <c r="AR7" s="500"/>
      <c r="AS7" s="499"/>
      <c r="AT7" s="499"/>
      <c r="AU7" s="499"/>
      <c r="AV7" s="499"/>
      <c r="AW7" s="499"/>
      <c r="AX7" s="499"/>
      <c r="AY7" s="499"/>
      <c r="AZ7" s="499"/>
    </row>
    <row r="8" spans="2:83" ht="14.1" customHeight="1" x14ac:dyDescent="0.25">
      <c r="B8" s="266"/>
      <c r="C8" s="672"/>
      <c r="D8" s="673"/>
      <c r="E8" s="259"/>
      <c r="F8" s="259"/>
      <c r="G8" s="259"/>
      <c r="H8" s="259"/>
      <c r="I8" s="259"/>
      <c r="J8" s="259"/>
      <c r="K8" s="259"/>
      <c r="L8" s="259"/>
      <c r="M8" s="259"/>
      <c r="N8" s="259"/>
      <c r="O8" s="259"/>
      <c r="P8" s="259"/>
      <c r="Q8" s="259"/>
      <c r="R8" s="259"/>
      <c r="S8" s="259"/>
      <c r="T8" s="325"/>
      <c r="U8" s="684"/>
      <c r="V8" s="684"/>
      <c r="W8" s="684"/>
      <c r="X8" s="684"/>
      <c r="Y8" s="684"/>
      <c r="Z8" s="684"/>
      <c r="AA8" s="685"/>
      <c r="AB8" s="433"/>
      <c r="AC8" s="433"/>
      <c r="AD8" s="701"/>
      <c r="AE8" s="702"/>
      <c r="AF8" s="702"/>
      <c r="AG8" s="433"/>
      <c r="AH8" s="696"/>
      <c r="AJ8" s="38"/>
      <c r="AL8" s="499"/>
      <c r="AM8" s="499"/>
      <c r="AN8" s="499"/>
      <c r="AO8" s="499"/>
      <c r="AP8" s="499"/>
      <c r="AQ8" s="499"/>
      <c r="AR8" s="500"/>
      <c r="AS8" s="499"/>
      <c r="AT8" s="499"/>
      <c r="AU8" s="499"/>
      <c r="AV8" s="499"/>
      <c r="AW8" s="499"/>
      <c r="AX8" s="499"/>
      <c r="AY8" s="499"/>
      <c r="AZ8" s="499"/>
    </row>
    <row r="9" spans="2:83" x14ac:dyDescent="0.25">
      <c r="B9" s="703" t="s">
        <v>641</v>
      </c>
      <c r="C9" s="703"/>
      <c r="D9" s="703"/>
      <c r="E9" s="703"/>
      <c r="F9" s="703"/>
      <c r="G9" s="703"/>
      <c r="H9" s="703"/>
      <c r="I9" s="703"/>
      <c r="J9" s="703"/>
      <c r="K9" s="703"/>
      <c r="L9" s="703"/>
      <c r="M9" s="703"/>
      <c r="N9" s="703"/>
      <c r="O9" s="703"/>
      <c r="P9" s="703"/>
      <c r="Q9" s="703"/>
      <c r="R9" s="703"/>
      <c r="S9" s="703"/>
      <c r="T9" s="703"/>
      <c r="U9" s="703"/>
      <c r="V9" s="703"/>
      <c r="W9" s="703"/>
      <c r="X9" s="704" t="s">
        <v>246</v>
      </c>
      <c r="Y9" s="704"/>
      <c r="Z9" s="704"/>
      <c r="AA9" s="704"/>
      <c r="AB9" s="704"/>
      <c r="AC9" s="704"/>
      <c r="AD9" s="704"/>
      <c r="AE9" s="445"/>
      <c r="AF9" s="445"/>
      <c r="AG9" s="445"/>
      <c r="AH9" s="445"/>
      <c r="AJ9" s="38"/>
      <c r="AM9" s="499"/>
      <c r="AN9" s="499"/>
      <c r="AO9" s="499"/>
      <c r="AP9" s="499"/>
      <c r="AQ9" s="499"/>
      <c r="AR9" s="500"/>
      <c r="AS9" s="501" t="s">
        <v>77</v>
      </c>
      <c r="AT9" s="499"/>
      <c r="AU9" s="499"/>
      <c r="AV9" s="499"/>
      <c r="AW9" s="501"/>
      <c r="AX9" s="501"/>
      <c r="AY9" s="501"/>
    </row>
    <row r="10" spans="2:83" ht="21" customHeight="1" x14ac:dyDescent="0.25">
      <c r="B10" s="690" t="s">
        <v>255</v>
      </c>
      <c r="C10" s="691"/>
      <c r="D10" s="692"/>
      <c r="E10" s="687" t="s">
        <v>264</v>
      </c>
      <c r="F10" s="688"/>
      <c r="G10" s="688"/>
      <c r="H10" s="688"/>
      <c r="I10" s="688"/>
      <c r="J10" s="688"/>
      <c r="K10" s="688"/>
      <c r="L10" s="688"/>
      <c r="M10" s="688"/>
      <c r="N10" s="688"/>
      <c r="O10" s="688"/>
      <c r="P10" s="688"/>
      <c r="Q10" s="688"/>
      <c r="R10" s="688"/>
      <c r="S10" s="688"/>
      <c r="T10" s="689"/>
      <c r="U10" s="275" t="s">
        <v>261</v>
      </c>
      <c r="V10" s="674" t="s">
        <v>278</v>
      </c>
      <c r="W10" s="675"/>
      <c r="X10" s="675"/>
      <c r="Y10" s="674" t="s">
        <v>263</v>
      </c>
      <c r="Z10" s="686"/>
      <c r="AA10" s="674" t="s">
        <v>282</v>
      </c>
      <c r="AB10" s="675"/>
      <c r="AC10" s="675"/>
      <c r="AD10" s="675"/>
      <c r="AE10" s="675"/>
      <c r="AF10" s="675"/>
      <c r="AG10" s="686"/>
      <c r="AH10" s="167" t="s">
        <v>101</v>
      </c>
      <c r="AJ10" s="38"/>
      <c r="AL10" s="499"/>
      <c r="AM10" s="499"/>
      <c r="AN10" s="499"/>
      <c r="AO10" s="499"/>
      <c r="AP10" s="499"/>
      <c r="AQ10" s="504" t="s">
        <v>34</v>
      </c>
      <c r="AR10" s="505" t="s">
        <v>21</v>
      </c>
      <c r="AS10" s="505" t="s">
        <v>7</v>
      </c>
      <c r="AT10" s="505"/>
      <c r="AU10" s="505" t="s">
        <v>12</v>
      </c>
      <c r="AV10" s="505" t="s">
        <v>22</v>
      </c>
      <c r="AW10" s="499"/>
      <c r="AX10" s="505" t="s">
        <v>8</v>
      </c>
      <c r="AY10" s="504" t="s">
        <v>9</v>
      </c>
      <c r="AZ10" s="504" t="s">
        <v>10</v>
      </c>
    </row>
    <row r="11" spans="2:83" s="251" customFormat="1" ht="30" customHeight="1" x14ac:dyDescent="0.25">
      <c r="B11" s="270" t="s">
        <v>256</v>
      </c>
      <c r="C11" s="223">
        <v>4</v>
      </c>
      <c r="D11" s="270" t="s">
        <v>98</v>
      </c>
      <c r="E11" s="255" t="s">
        <v>265</v>
      </c>
      <c r="F11" s="255" t="s">
        <v>266</v>
      </c>
      <c r="G11" s="255" t="s">
        <v>267</v>
      </c>
      <c r="H11" s="255" t="s">
        <v>194</v>
      </c>
      <c r="I11" s="255" t="s">
        <v>268</v>
      </c>
      <c r="J11" s="255" t="s">
        <v>269</v>
      </c>
      <c r="K11" s="255" t="s">
        <v>270</v>
      </c>
      <c r="L11" s="255" t="s">
        <v>271</v>
      </c>
      <c r="M11" s="255" t="s">
        <v>145</v>
      </c>
      <c r="N11" s="255" t="s">
        <v>272</v>
      </c>
      <c r="O11" s="255" t="s">
        <v>237</v>
      </c>
      <c r="P11" s="255" t="s">
        <v>273</v>
      </c>
      <c r="Q11" s="255" t="s">
        <v>274</v>
      </c>
      <c r="R11" s="255" t="s">
        <v>276</v>
      </c>
      <c r="S11" s="255" t="s">
        <v>277</v>
      </c>
      <c r="T11" s="255" t="s">
        <v>275</v>
      </c>
      <c r="U11" s="255" t="s">
        <v>261</v>
      </c>
      <c r="V11" s="653" t="s">
        <v>100</v>
      </c>
      <c r="W11" s="654"/>
      <c r="X11" s="654"/>
      <c r="Y11" s="171" t="str">
        <f>AW11</f>
        <v>Niveau non applicable</v>
      </c>
      <c r="Z11" s="171" t="str">
        <f>IF($Y11="Niveau non applicable","NA",AV11)</f>
        <v>NA</v>
      </c>
      <c r="AA11" s="171" t="s">
        <v>296</v>
      </c>
      <c r="AB11" s="254" t="s">
        <v>638</v>
      </c>
      <c r="AC11" s="254" t="s">
        <v>605</v>
      </c>
      <c r="AD11" s="254" t="s">
        <v>279</v>
      </c>
      <c r="AE11" s="254" t="s">
        <v>280</v>
      </c>
      <c r="AF11" s="254" t="s">
        <v>281</v>
      </c>
      <c r="AG11" s="254" t="s">
        <v>527</v>
      </c>
      <c r="AH11" s="254" t="s">
        <v>101</v>
      </c>
      <c r="AI11" s="111"/>
      <c r="AJ11" s="38"/>
      <c r="AK11" s="183"/>
      <c r="AL11" s="504" t="s">
        <v>55</v>
      </c>
      <c r="AM11" s="504" t="s">
        <v>53</v>
      </c>
      <c r="AN11" s="504" t="s">
        <v>54</v>
      </c>
      <c r="AO11" s="504" t="s">
        <v>150</v>
      </c>
      <c r="AP11" s="504" t="s">
        <v>69</v>
      </c>
      <c r="AQ11" s="506" t="s">
        <v>20</v>
      </c>
      <c r="AR11" s="505" t="s">
        <v>11</v>
      </c>
      <c r="AS11" s="505" t="s">
        <v>28</v>
      </c>
      <c r="AT11" s="505" t="s">
        <v>69</v>
      </c>
      <c r="AU11" s="507">
        <f>SUM(AU12:AU27)</f>
        <v>0</v>
      </c>
      <c r="AV11" s="502">
        <f>IFERROR(SUM(AV12:AV27),"")</f>
        <v>0</v>
      </c>
      <c r="AW11" s="505" t="str">
        <f>IFERROR(IF(AV11=Présentation!$D$24,Présentation!$H$24,IF(AV11&lt;=Présentation!$F$20,Présentation!$G$20,IF(AV11&lt;=Présentation!$F$21,Présentation!$G$21,IF(AV11&lt;=Présentation!$F$22,Présentation!$G$22,Présentation!$G$23)))),"")</f>
        <v>Niveau non applicable</v>
      </c>
      <c r="AX11" s="502">
        <f>1/7</f>
        <v>0.14285714285714285</v>
      </c>
      <c r="AY11" s="502">
        <f>AV11*AX11</f>
        <v>0</v>
      </c>
      <c r="AZ11" s="508"/>
      <c r="BA11" s="509"/>
      <c r="BB11" s="510"/>
      <c r="BC11" s="510"/>
      <c r="BD11" s="510"/>
      <c r="BE11" s="510"/>
      <c r="BF11" s="510"/>
      <c r="BG11" s="510"/>
      <c r="BH11" s="51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row>
    <row r="12" spans="2:83" ht="30" customHeight="1" x14ac:dyDescent="0.25">
      <c r="B12" s="224"/>
      <c r="C12" s="224" t="s">
        <v>99</v>
      </c>
      <c r="D12" s="231" t="s">
        <v>105</v>
      </c>
      <c r="E12" s="706"/>
      <c r="F12" s="706"/>
      <c r="G12" s="706"/>
      <c r="H12" s="706"/>
      <c r="I12" s="706"/>
      <c r="J12" s="706"/>
      <c r="K12" s="706"/>
      <c r="L12" s="706"/>
      <c r="M12" s="706"/>
      <c r="N12" s="706"/>
      <c r="O12" s="706"/>
      <c r="P12" s="706"/>
      <c r="Q12" s="706"/>
      <c r="R12" s="706"/>
      <c r="S12" s="706"/>
      <c r="T12" s="706"/>
      <c r="U12" s="172" t="s">
        <v>261</v>
      </c>
      <c r="V12" s="172" t="s">
        <v>104</v>
      </c>
      <c r="W12" s="172" t="s">
        <v>188</v>
      </c>
      <c r="X12" s="172" t="s">
        <v>262</v>
      </c>
      <c r="Y12" s="172" t="str">
        <f>AS12</f>
        <v>Niveau non applicable</v>
      </c>
      <c r="Z12" s="172" t="str">
        <f>IF($Y12="Niveau non applicable","NA",$AR12)</f>
        <v>NA</v>
      </c>
      <c r="AA12" s="172" t="s">
        <v>296</v>
      </c>
      <c r="AB12" s="276" t="s">
        <v>638</v>
      </c>
      <c r="AC12" s="276" t="s">
        <v>605</v>
      </c>
      <c r="AD12" s="276" t="s">
        <v>279</v>
      </c>
      <c r="AE12" s="276" t="s">
        <v>280</v>
      </c>
      <c r="AF12" s="276" t="s">
        <v>281</v>
      </c>
      <c r="AG12" s="276" t="s">
        <v>527</v>
      </c>
      <c r="AH12" s="253" t="s">
        <v>101</v>
      </c>
      <c r="AJ12" s="38"/>
      <c r="AL12" s="501" t="s">
        <v>41</v>
      </c>
      <c r="AM12" s="511" t="s">
        <v>24</v>
      </c>
      <c r="AN12" s="511"/>
      <c r="AO12" s="501" t="s">
        <v>28</v>
      </c>
      <c r="AP12" s="501"/>
      <c r="AQ12" s="512">
        <f>SUM(AQ13:AQ14)</f>
        <v>1</v>
      </c>
      <c r="AR12" s="505">
        <f>IFERROR(SUM(AR13:AR14),"")</f>
        <v>0</v>
      </c>
      <c r="AS12" s="505" t="str">
        <f>IFERROR(IF(AR12=Présentation!$F$24,Présentation!$H$24,IF(AR12&lt;=Présentation!$F$20,Présentation!$G$20,IF(AR12&lt;=Présentation!$F$21,Présentation!$G$21,IF(AR12&lt;=Présentation!$F$22,Présentation!$G$22,Présentation!$G$23)))),"")</f>
        <v>Niveau non applicable</v>
      </c>
      <c r="AT12" s="513">
        <f>IF(AS12="Niveau Non applicable",1,0)</f>
        <v>1</v>
      </c>
      <c r="AU12" s="502">
        <f>IF(AS12="Niveau Non applicable",0,1/COUNTIF($AT$12:$AT$27,"=0"))</f>
        <v>0</v>
      </c>
      <c r="AV12" s="502">
        <f>AU12*AR12</f>
        <v>0</v>
      </c>
      <c r="AW12" s="508"/>
      <c r="AX12" s="514"/>
      <c r="AY12" s="508"/>
      <c r="AZ12" s="508"/>
      <c r="BA12" s="515" t="s">
        <v>84</v>
      </c>
      <c r="BB12" s="496" t="s">
        <v>102</v>
      </c>
      <c r="BC12" s="496" t="s">
        <v>245</v>
      </c>
      <c r="BE12" s="496" t="s">
        <v>528</v>
      </c>
    </row>
    <row r="13" spans="2:83" ht="45" x14ac:dyDescent="0.25">
      <c r="B13" s="646" t="s">
        <v>258</v>
      </c>
      <c r="C13" s="387">
        <v>1</v>
      </c>
      <c r="D13" s="274" t="s">
        <v>587</v>
      </c>
      <c r="E13" s="642"/>
      <c r="F13" s="642"/>
      <c r="G13" s="642"/>
      <c r="H13" s="642"/>
      <c r="I13" s="642"/>
      <c r="J13" s="642"/>
      <c r="K13" s="642"/>
      <c r="L13" s="642"/>
      <c r="M13" s="642"/>
      <c r="N13" s="642"/>
      <c r="O13" s="642"/>
      <c r="P13" s="642"/>
      <c r="Q13" s="642"/>
      <c r="R13" s="642"/>
      <c r="S13" s="642"/>
      <c r="T13" s="642"/>
      <c r="U13" s="1"/>
      <c r="V13" s="407" t="s">
        <v>103</v>
      </c>
      <c r="W13" s="707" t="s">
        <v>589</v>
      </c>
      <c r="X13" s="1" t="str">
        <f>BC13</f>
        <v xml:space="preserve"> </v>
      </c>
      <c r="Y13" s="1"/>
      <c r="Z13" s="389" t="str">
        <f>IF($U13="Non","NA",$AO13)</f>
        <v/>
      </c>
      <c r="AA13" s="274" t="str">
        <f>IF(Exigences!Y13=Présentation!$L$20,'Plan d''actions'!E4,IF(Exigences!Y13=Présentation!$L$21,'Plan d''actions'!$E$4,"Pas de plan d'actions à suggérer!"))</f>
        <v>Pas de plan d'actions à suggérer!</v>
      </c>
      <c r="AB13" s="277"/>
      <c r="AC13" s="277"/>
      <c r="AD13" s="277"/>
      <c r="AE13" s="404"/>
      <c r="AF13" s="401"/>
      <c r="AG13" s="401"/>
      <c r="AH13" s="3" t="s">
        <v>61</v>
      </c>
      <c r="AJ13" s="705"/>
      <c r="AL13" s="507">
        <v>1</v>
      </c>
      <c r="AM13" s="504">
        <f>$Y13</f>
        <v>0</v>
      </c>
      <c r="AN13" s="504" t="str">
        <f>IFERROR((VLOOKUP($Y13,Présentation!$L$20:$M$24,2,FALSE)),"")</f>
        <v/>
      </c>
      <c r="AO13" s="502" t="str">
        <f>IFERROR(CHOOSE($AN13,"",Présentation!$D$20,Présentation!$D$21,Présentation!$D$22,Présentation!$D$23,Présentation!$D$24),"")</f>
        <v/>
      </c>
      <c r="AP13" s="516">
        <f>IF(AM13="Non applicable",1,0)</f>
        <v>0</v>
      </c>
      <c r="AQ13" s="512">
        <f>IF(AM13="Non applicable",0,1/COUNTIF($AP$13:$AP$14,"=0"))</f>
        <v>0.5</v>
      </c>
      <c r="AR13" s="502" t="str">
        <f t="shared" ref="AR13:AR18" si="0">IFERROR(AO13*AQ13,"")</f>
        <v/>
      </c>
      <c r="AS13" s="502"/>
      <c r="AT13" s="502"/>
      <c r="AU13" s="502"/>
      <c r="AV13" s="501"/>
      <c r="AW13" s="501"/>
      <c r="AX13" s="502"/>
      <c r="AY13" s="501"/>
      <c r="AZ13" s="501"/>
      <c r="BA13" s="515" t="s">
        <v>85</v>
      </c>
      <c r="BB13" s="496" t="s">
        <v>103</v>
      </c>
      <c r="BC13" s="510" t="str">
        <f t="shared" ref="BC13:BC44" si="1">IF(U13="non","NA"," ")</f>
        <v xml:space="preserve"> </v>
      </c>
      <c r="BE13" s="496" t="s">
        <v>338</v>
      </c>
    </row>
    <row r="14" spans="2:83" ht="39.75" customHeight="1" x14ac:dyDescent="0.25">
      <c r="B14" s="709"/>
      <c r="C14" s="387">
        <f>1+C13</f>
        <v>2</v>
      </c>
      <c r="D14" s="274" t="s">
        <v>588</v>
      </c>
      <c r="E14" s="643"/>
      <c r="F14" s="643"/>
      <c r="G14" s="643"/>
      <c r="H14" s="643"/>
      <c r="I14" s="643"/>
      <c r="J14" s="643"/>
      <c r="K14" s="643"/>
      <c r="L14" s="643"/>
      <c r="M14" s="643"/>
      <c r="N14" s="643"/>
      <c r="O14" s="643"/>
      <c r="P14" s="643"/>
      <c r="Q14" s="643"/>
      <c r="R14" s="643"/>
      <c r="S14" s="643"/>
      <c r="T14" s="643"/>
      <c r="U14" s="1"/>
      <c r="V14" s="407" t="s">
        <v>103</v>
      </c>
      <c r="W14" s="708"/>
      <c r="X14" s="1" t="str">
        <f>BC14</f>
        <v xml:space="preserve"> </v>
      </c>
      <c r="Y14" s="1"/>
      <c r="Z14" s="389" t="str">
        <f>IF($U14="Non","NA",$AO14)</f>
        <v/>
      </c>
      <c r="AA14" s="274" t="str">
        <f>IF(Exigences!Y14=Présentation!$L$20,'Plan d''actions'!E5,IF(Exigences!Y14=Présentation!$L$21,'Plan d''actions'!$E$5,"Pas de plan d'actions à suggérer!"))</f>
        <v>Pas de plan d'actions à suggérer!</v>
      </c>
      <c r="AB14" s="277"/>
      <c r="AC14" s="277"/>
      <c r="AD14" s="277"/>
      <c r="AE14" s="404"/>
      <c r="AF14" s="401"/>
      <c r="AG14" s="401"/>
      <c r="AH14" s="3" t="s">
        <v>61</v>
      </c>
      <c r="AJ14" s="705"/>
      <c r="AL14" s="507">
        <f>AL13+1</f>
        <v>2</v>
      </c>
      <c r="AM14" s="504">
        <f>Y14</f>
        <v>0</v>
      </c>
      <c r="AN14" s="504" t="str">
        <f>IFERROR((VLOOKUP($Y14,Présentation!$L$20:$M$24,2,FALSE)),"")</f>
        <v/>
      </c>
      <c r="AO14" s="502" t="str">
        <f>IFERROR(CHOOSE($AN14,"",Présentation!$D$20,Présentation!$D$21,Présentation!$D$22,Présentation!$D$23,Présentation!$D$24),"")</f>
        <v/>
      </c>
      <c r="AP14" s="516">
        <f>IF(AM14="Non applicable",1,0)</f>
        <v>0</v>
      </c>
      <c r="AQ14" s="512">
        <f>IF(AM14="Non applicable",0,1/COUNTIF($AP$13:$AP$14,"=0"))</f>
        <v>0.5</v>
      </c>
      <c r="AR14" s="502" t="str">
        <f>IFERROR(AO14*AQ14,"")</f>
        <v/>
      </c>
      <c r="AS14" s="502"/>
      <c r="AT14" s="502"/>
      <c r="AU14" s="502"/>
      <c r="AV14" s="502"/>
      <c r="AW14" s="502"/>
      <c r="AX14" s="502"/>
      <c r="AY14" s="501"/>
      <c r="AZ14" s="501"/>
      <c r="BA14" s="496" t="s">
        <v>86</v>
      </c>
      <c r="BC14" s="510" t="str">
        <f t="shared" si="1"/>
        <v xml:space="preserve"> </v>
      </c>
      <c r="BE14" s="496" t="s">
        <v>529</v>
      </c>
    </row>
    <row r="15" spans="2:83" ht="41.25" customHeight="1" x14ac:dyDescent="0.25">
      <c r="B15" s="224"/>
      <c r="C15" s="224" t="s">
        <v>108</v>
      </c>
      <c r="D15" s="231" t="s">
        <v>107</v>
      </c>
      <c r="E15" s="641"/>
      <c r="F15" s="641"/>
      <c r="G15" s="641"/>
      <c r="H15" s="641"/>
      <c r="I15" s="641"/>
      <c r="J15" s="641"/>
      <c r="K15" s="641"/>
      <c r="L15" s="641"/>
      <c r="M15" s="641"/>
      <c r="N15" s="641"/>
      <c r="O15" s="641"/>
      <c r="P15" s="641"/>
      <c r="Q15" s="641"/>
      <c r="R15" s="641"/>
      <c r="S15" s="641"/>
      <c r="T15" s="641"/>
      <c r="U15" s="172" t="s">
        <v>261</v>
      </c>
      <c r="V15" s="172" t="s">
        <v>104</v>
      </c>
      <c r="W15" s="172" t="s">
        <v>188</v>
      </c>
      <c r="X15" s="172" t="s">
        <v>262</v>
      </c>
      <c r="Y15" s="172" t="str">
        <f>AS15</f>
        <v>Niveau non applicable</v>
      </c>
      <c r="Z15" s="172" t="str">
        <f>IF($Y15="Niveau non applicable","NA",$AR15)</f>
        <v>NA</v>
      </c>
      <c r="AA15" s="172" t="s">
        <v>296</v>
      </c>
      <c r="AB15" s="276" t="s">
        <v>638</v>
      </c>
      <c r="AC15" s="276" t="s">
        <v>605</v>
      </c>
      <c r="AD15" s="276" t="s">
        <v>279</v>
      </c>
      <c r="AE15" s="405" t="s">
        <v>280</v>
      </c>
      <c r="AF15" s="402" t="s">
        <v>281</v>
      </c>
      <c r="AG15" s="276" t="s">
        <v>527</v>
      </c>
      <c r="AH15" s="253" t="s">
        <v>101</v>
      </c>
      <c r="AJ15" s="39"/>
      <c r="AL15" s="507"/>
      <c r="AM15" s="511" t="s">
        <v>24</v>
      </c>
      <c r="AN15" s="511"/>
      <c r="AO15" s="501" t="s">
        <v>28</v>
      </c>
      <c r="AP15" s="501"/>
      <c r="AQ15" s="512">
        <f>SUM(AQ16:AQ18)</f>
        <v>1</v>
      </c>
      <c r="AR15" s="502">
        <f>IFERROR(SUM(AR16:AR18),"")</f>
        <v>0</v>
      </c>
      <c r="AS15" s="505" t="str">
        <f>IFERROR(IF(AR15=Présentation!$F$24,Présentation!$H$24,IF(AR15&lt;=Présentation!$F$20,Présentation!$G$20,IF(AR15&lt;=Présentation!$F$21,Présentation!$G$21,IF(AR15&lt;=Présentation!$F$22,Présentation!$G$22,Présentation!$G$23)))),"")</f>
        <v>Niveau non applicable</v>
      </c>
      <c r="AT15" s="513">
        <f>IF(AS15="Niveau Non applicable",1,0)</f>
        <v>1</v>
      </c>
      <c r="AU15" s="502">
        <f>IF(AS15="Niveau Non applicable",0,1/COUNTIF($AT$12:$AT$27,"=0"))</f>
        <v>0</v>
      </c>
      <c r="AV15" s="502">
        <f>AU15*AR15</f>
        <v>0</v>
      </c>
      <c r="AW15" s="502"/>
      <c r="AX15" s="502"/>
      <c r="AY15" s="501"/>
      <c r="AZ15" s="501"/>
      <c r="BA15" s="496" t="s">
        <v>87</v>
      </c>
      <c r="BC15" s="510" t="str">
        <f t="shared" si="1"/>
        <v xml:space="preserve"> </v>
      </c>
      <c r="BE15" s="496" t="s">
        <v>530</v>
      </c>
    </row>
    <row r="16" spans="2:83" ht="36.75" customHeight="1" x14ac:dyDescent="0.25">
      <c r="B16" s="646" t="s">
        <v>258</v>
      </c>
      <c r="C16" s="387">
        <f>1+C14</f>
        <v>3</v>
      </c>
      <c r="D16" s="274" t="s">
        <v>652</v>
      </c>
      <c r="E16" s="642"/>
      <c r="F16" s="642"/>
      <c r="G16" s="642"/>
      <c r="H16" s="642"/>
      <c r="I16" s="642"/>
      <c r="J16" s="642"/>
      <c r="K16" s="642"/>
      <c r="L16" s="642"/>
      <c r="M16" s="642"/>
      <c r="N16" s="642"/>
      <c r="O16" s="642"/>
      <c r="P16" s="642"/>
      <c r="Q16" s="642"/>
      <c r="R16" s="642"/>
      <c r="S16" s="642"/>
      <c r="T16" s="642"/>
      <c r="U16" s="1"/>
      <c r="V16" s="375" t="s">
        <v>103</v>
      </c>
      <c r="W16" s="658" t="s">
        <v>646</v>
      </c>
      <c r="X16" s="1" t="str">
        <f>BC16</f>
        <v xml:space="preserve"> </v>
      </c>
      <c r="Y16" s="1"/>
      <c r="Z16" s="389" t="str">
        <f>IF($U16="Non","NA",$AO16)</f>
        <v/>
      </c>
      <c r="AA16" s="274" t="str">
        <f>IF(Exigences!Y16=Présentation!$L$20,'Plan d''actions'!E7,IF(Exigences!Y16=Présentation!$L$21,'Plan d''actions'!E7,"Pas de plan d'actions à suggérer!"))</f>
        <v>Pas de plan d'actions à suggérer!</v>
      </c>
      <c r="AB16" s="277"/>
      <c r="AC16" s="277"/>
      <c r="AD16" s="277"/>
      <c r="AE16" s="404"/>
      <c r="AF16" s="401"/>
      <c r="AG16" s="401"/>
      <c r="AH16" s="3" t="s">
        <v>61</v>
      </c>
      <c r="AJ16" s="40"/>
      <c r="AL16" s="507">
        <f>IF(AM16="Sous-Article","",IF(AL15="",AL14+1,AL15+1))</f>
        <v>3</v>
      </c>
      <c r="AM16" s="504">
        <f>Y16</f>
        <v>0</v>
      </c>
      <c r="AN16" s="504" t="str">
        <f>IFERROR((VLOOKUP($Y16,Présentation!$L$20:$M$24,2,FALSE)),"")</f>
        <v/>
      </c>
      <c r="AO16" s="502" t="str">
        <f>IFERROR(CHOOSE($AN16,"",Présentation!$D$20,Présentation!$D$21,Présentation!$D$22,Présentation!$D$23,Présentation!$D$24),"")</f>
        <v/>
      </c>
      <c r="AP16" s="516">
        <f>IF(AM16="Non applicable",1,0)</f>
        <v>0</v>
      </c>
      <c r="AQ16" s="512">
        <f>IF(AM16="Non applicable",0,1/COUNTIF($AP$16:$AP$18,"=0"))</f>
        <v>0.33333333333333331</v>
      </c>
      <c r="AR16" s="502" t="str">
        <f t="shared" si="0"/>
        <v/>
      </c>
      <c r="AS16" s="502"/>
      <c r="AT16" s="502"/>
      <c r="AU16" s="502"/>
      <c r="AV16" s="502"/>
      <c r="AW16" s="502"/>
      <c r="AX16" s="502"/>
      <c r="AY16" s="501"/>
      <c r="AZ16" s="501"/>
      <c r="BA16" s="496" t="s">
        <v>245</v>
      </c>
      <c r="BC16" s="510" t="str">
        <f t="shared" si="1"/>
        <v xml:space="preserve"> </v>
      </c>
      <c r="BE16" s="496" t="s">
        <v>531</v>
      </c>
    </row>
    <row r="17" spans="1:83" ht="33" customHeight="1" x14ac:dyDescent="0.25">
      <c r="B17" s="647"/>
      <c r="C17" s="387">
        <f>1+C16</f>
        <v>4</v>
      </c>
      <c r="D17" s="274" t="s">
        <v>239</v>
      </c>
      <c r="E17" s="642"/>
      <c r="F17" s="642"/>
      <c r="G17" s="642"/>
      <c r="H17" s="642"/>
      <c r="I17" s="642"/>
      <c r="J17" s="642"/>
      <c r="K17" s="642"/>
      <c r="L17" s="642"/>
      <c r="M17" s="642"/>
      <c r="N17" s="642"/>
      <c r="O17" s="642"/>
      <c r="P17" s="642"/>
      <c r="Q17" s="642"/>
      <c r="R17" s="642"/>
      <c r="S17" s="642"/>
      <c r="T17" s="642"/>
      <c r="U17" s="1"/>
      <c r="V17" s="375" t="s">
        <v>103</v>
      </c>
      <c r="W17" s="659"/>
      <c r="X17" s="1" t="str">
        <f>BC17</f>
        <v xml:space="preserve"> </v>
      </c>
      <c r="Y17" s="1"/>
      <c r="Z17" s="389" t="str">
        <f>IF($U17="Non","NA",$AO17)</f>
        <v/>
      </c>
      <c r="AA17" s="274" t="str">
        <f>IF(Exigences!Y17=Présentation!$L$20,'Plan d''actions'!E8,IF(Exigences!Y17=Présentation!$L$21,'Plan d''actions'!E8,"Pas de plan d'actions à suggérer!"))</f>
        <v>Pas de plan d'actions à suggérer!</v>
      </c>
      <c r="AB17" s="277"/>
      <c r="AC17" s="277"/>
      <c r="AD17" s="277"/>
      <c r="AE17" s="404"/>
      <c r="AF17" s="401"/>
      <c r="AG17" s="401"/>
      <c r="AH17" s="3" t="s">
        <v>61</v>
      </c>
      <c r="AJ17" s="40"/>
      <c r="AL17" s="507">
        <f>IF(AM17="Sous-Article","",IF(AL16="",AL15+1,AL16+1))</f>
        <v>4</v>
      </c>
      <c r="AM17" s="504">
        <f>Y17</f>
        <v>0</v>
      </c>
      <c r="AN17" s="504" t="str">
        <f>IFERROR((VLOOKUP($Y17,Présentation!$L$20:$M$24,2,FALSE)),"")</f>
        <v/>
      </c>
      <c r="AO17" s="502" t="str">
        <f>IFERROR(CHOOSE($AN17,"",Présentation!$D$20,Présentation!$D$21,Présentation!$D$22,Présentation!$D$23,Présentation!$D$24),"")</f>
        <v/>
      </c>
      <c r="AP17" s="516">
        <f>IF(AM17="Non applicable",1,0)</f>
        <v>0</v>
      </c>
      <c r="AQ17" s="512">
        <f>IF(AM17="Non applicable",0,1/COUNTIF($AP$16:$AP$18,"=0"))</f>
        <v>0.33333333333333331</v>
      </c>
      <c r="AR17" s="502" t="str">
        <f t="shared" si="0"/>
        <v/>
      </c>
      <c r="AS17" s="502"/>
      <c r="AT17" s="502"/>
      <c r="AU17" s="502"/>
      <c r="AV17" s="502"/>
      <c r="AW17" s="502"/>
      <c r="AX17" s="502"/>
      <c r="AY17" s="501"/>
      <c r="AZ17" s="501"/>
      <c r="BC17" s="510" t="str">
        <f t="shared" si="1"/>
        <v xml:space="preserve"> </v>
      </c>
    </row>
    <row r="18" spans="1:83" ht="25.5" customHeight="1" x14ac:dyDescent="0.25">
      <c r="B18" s="709"/>
      <c r="C18" s="387">
        <f>1+C17</f>
        <v>5</v>
      </c>
      <c r="D18" s="274" t="s">
        <v>238</v>
      </c>
      <c r="E18" s="643"/>
      <c r="F18" s="643"/>
      <c r="G18" s="643"/>
      <c r="H18" s="643"/>
      <c r="I18" s="643"/>
      <c r="J18" s="643"/>
      <c r="K18" s="643"/>
      <c r="L18" s="643"/>
      <c r="M18" s="643"/>
      <c r="N18" s="643"/>
      <c r="O18" s="643"/>
      <c r="P18" s="643"/>
      <c r="Q18" s="643"/>
      <c r="R18" s="643"/>
      <c r="S18" s="643"/>
      <c r="T18" s="643"/>
      <c r="U18" s="1"/>
      <c r="V18" s="375" t="s">
        <v>103</v>
      </c>
      <c r="W18" s="660"/>
      <c r="X18" s="1" t="str">
        <f>BC18</f>
        <v xml:space="preserve"> </v>
      </c>
      <c r="Y18" s="1"/>
      <c r="Z18" s="389" t="str">
        <f>IF($U18="Non","NA",$AO18)</f>
        <v/>
      </c>
      <c r="AA18" s="274" t="str">
        <f>IF(Exigences!Y18=Présentation!$L$20,'Plan d''actions'!E9,IF(Exigences!Y18=Présentation!$L$21,'Plan d''actions'!E9,"Pas de plan d'actions à suggérer!"))</f>
        <v>Pas de plan d'actions à suggérer!</v>
      </c>
      <c r="AB18" s="277"/>
      <c r="AC18" s="277"/>
      <c r="AD18" s="277"/>
      <c r="AE18" s="404"/>
      <c r="AF18" s="401"/>
      <c r="AG18" s="401"/>
      <c r="AH18" s="3" t="s">
        <v>61</v>
      </c>
      <c r="AJ18" s="41"/>
      <c r="AL18" s="507">
        <f>IF(AM18="Sous-Article","",IF(AL17="",AL16+1,AL17+1))</f>
        <v>5</v>
      </c>
      <c r="AM18" s="504">
        <f>Y18</f>
        <v>0</v>
      </c>
      <c r="AN18" s="504" t="str">
        <f>IFERROR((VLOOKUP($Y18,Présentation!$L$20:$M$24,2,FALSE)),"")</f>
        <v/>
      </c>
      <c r="AO18" s="502" t="str">
        <f>IFERROR(CHOOSE($AN18,"",Présentation!$D$20,Présentation!$D$21,Présentation!$D$22,Présentation!$D$23,Présentation!$D$24),"")</f>
        <v/>
      </c>
      <c r="AP18" s="516">
        <f>IF(AM18="Non applicable",1,0)</f>
        <v>0</v>
      </c>
      <c r="AQ18" s="512">
        <f>IF(AM18="Non applicable",0,1/COUNTIF($AP$16:$AP$18,"=0"))</f>
        <v>0.33333333333333331</v>
      </c>
      <c r="AR18" s="502" t="str">
        <f t="shared" si="0"/>
        <v/>
      </c>
      <c r="AS18" s="502"/>
      <c r="AT18" s="502"/>
      <c r="AU18" s="502"/>
      <c r="AV18" s="502"/>
      <c r="AW18" s="502"/>
      <c r="AX18" s="502"/>
      <c r="AY18" s="501"/>
      <c r="AZ18" s="501"/>
      <c r="BC18" s="510" t="str">
        <f t="shared" si="1"/>
        <v xml:space="preserve"> </v>
      </c>
    </row>
    <row r="19" spans="1:83" ht="30" customHeight="1" x14ac:dyDescent="0.25">
      <c r="B19" s="224"/>
      <c r="C19" s="224" t="s">
        <v>109</v>
      </c>
      <c r="D19" s="231" t="s">
        <v>110</v>
      </c>
      <c r="E19" s="641"/>
      <c r="F19" s="641"/>
      <c r="G19" s="641"/>
      <c r="H19" s="641"/>
      <c r="I19" s="641"/>
      <c r="J19" s="641"/>
      <c r="K19" s="641"/>
      <c r="L19" s="641"/>
      <c r="M19" s="641"/>
      <c r="N19" s="641"/>
      <c r="O19" s="641"/>
      <c r="P19" s="641"/>
      <c r="Q19" s="641"/>
      <c r="R19" s="641"/>
      <c r="S19" s="641"/>
      <c r="T19" s="641"/>
      <c r="U19" s="172" t="s">
        <v>261</v>
      </c>
      <c r="V19" s="172" t="s">
        <v>104</v>
      </c>
      <c r="W19" s="172" t="s">
        <v>188</v>
      </c>
      <c r="X19" s="172" t="s">
        <v>262</v>
      </c>
      <c r="Y19" s="172" t="str">
        <f>AS19</f>
        <v>Niveau non applicable</v>
      </c>
      <c r="Z19" s="172" t="str">
        <f>IF($Y19="Niveau non applicable","NA",$AR19)</f>
        <v>NA</v>
      </c>
      <c r="AA19" s="172" t="s">
        <v>296</v>
      </c>
      <c r="AB19" s="276" t="s">
        <v>638</v>
      </c>
      <c r="AC19" s="276" t="s">
        <v>605</v>
      </c>
      <c r="AD19" s="276" t="s">
        <v>279</v>
      </c>
      <c r="AE19" s="405" t="s">
        <v>280</v>
      </c>
      <c r="AF19" s="402" t="s">
        <v>281</v>
      </c>
      <c r="AG19" s="276" t="s">
        <v>527</v>
      </c>
      <c r="AH19" s="253" t="s">
        <v>101</v>
      </c>
      <c r="AJ19" s="166"/>
      <c r="AL19" s="507"/>
      <c r="AM19" s="511" t="s">
        <v>24</v>
      </c>
      <c r="AN19" s="511"/>
      <c r="AO19" s="501" t="s">
        <v>28</v>
      </c>
      <c r="AP19" s="501"/>
      <c r="AQ19" s="512">
        <f>SUM(AQ20:AQ21)</f>
        <v>1</v>
      </c>
      <c r="AR19" s="502">
        <f>IFERROR(SUM(AR20:AR21),"")</f>
        <v>0</v>
      </c>
      <c r="AS19" s="505" t="str">
        <f>IFERROR(IF(AR19=Présentation!$F$24,Présentation!$H$24,IF(AR19&lt;=Présentation!$F$20,Présentation!$G$20,IF(AR19&lt;=Présentation!$F$21,Présentation!$G$21,IF(AR19&lt;=Présentation!$F$22,Présentation!$G$22,Présentation!$G$23)))),"")</f>
        <v>Niveau non applicable</v>
      </c>
      <c r="AT19" s="513">
        <f>IF(AS19="Niveau Non applicable",1,0)</f>
        <v>1</v>
      </c>
      <c r="AU19" s="502">
        <f>IF(AS19="Niveau Non applicable",0,1/COUNTIF($AT$12:$AT$27,"=0"))</f>
        <v>0</v>
      </c>
      <c r="AV19" s="502">
        <f>AU19*AR19</f>
        <v>0</v>
      </c>
      <c r="AW19" s="501"/>
      <c r="AX19" s="502"/>
      <c r="AY19" s="501"/>
      <c r="AZ19" s="501"/>
      <c r="BC19" s="510" t="str">
        <f t="shared" si="1"/>
        <v xml:space="preserve"> </v>
      </c>
    </row>
    <row r="20" spans="1:83" ht="32.25" customHeight="1" x14ac:dyDescent="0.25">
      <c r="B20" s="646" t="s">
        <v>258</v>
      </c>
      <c r="C20" s="387">
        <f>IF(ISERROR(C19+1),C18+1,C19+1)</f>
        <v>6</v>
      </c>
      <c r="D20" s="274" t="s">
        <v>240</v>
      </c>
      <c r="E20" s="642"/>
      <c r="F20" s="642"/>
      <c r="G20" s="642"/>
      <c r="H20" s="642"/>
      <c r="I20" s="642"/>
      <c r="J20" s="642"/>
      <c r="K20" s="642"/>
      <c r="L20" s="642"/>
      <c r="M20" s="642"/>
      <c r="N20" s="642"/>
      <c r="O20" s="642"/>
      <c r="P20" s="642"/>
      <c r="Q20" s="642"/>
      <c r="R20" s="642"/>
      <c r="S20" s="642"/>
      <c r="T20" s="642"/>
      <c r="U20" s="1"/>
      <c r="V20" s="375" t="s">
        <v>102</v>
      </c>
      <c r="W20" s="658" t="s">
        <v>203</v>
      </c>
      <c r="X20" s="1" t="str">
        <f>BC20</f>
        <v xml:space="preserve"> </v>
      </c>
      <c r="Y20" s="1"/>
      <c r="Z20" s="389" t="str">
        <f>IF($U20="Non","NA",$AO20)</f>
        <v/>
      </c>
      <c r="AA20" s="274" t="str">
        <f>IF(Exigences!Y20=Présentation!$L$20,'Plan d''actions'!E11,IF(Exigences!Y20=Présentation!$L$21,'Plan d''actions'!E11,"Pas de plan d'actions à suggérer!"))</f>
        <v>Pas de plan d'actions à suggérer!</v>
      </c>
      <c r="AB20" s="277"/>
      <c r="AC20" s="277"/>
      <c r="AD20" s="277"/>
      <c r="AE20" s="404"/>
      <c r="AF20" s="401"/>
      <c r="AG20" s="401"/>
      <c r="AH20" s="3" t="s">
        <v>61</v>
      </c>
      <c r="AJ20" s="41"/>
      <c r="AL20" s="507">
        <f>IF(AM20="Sous-Article","",IF(AL19="",AL18+1,AL19+1))</f>
        <v>6</v>
      </c>
      <c r="AM20" s="504">
        <f>Y20</f>
        <v>0</v>
      </c>
      <c r="AN20" s="504" t="str">
        <f>IFERROR((VLOOKUP($Y20,Présentation!$L$20:$M$24,2,FALSE)),"")</f>
        <v/>
      </c>
      <c r="AO20" s="502" t="str">
        <f>IFERROR(CHOOSE($AN20,"",Présentation!$D$20,Présentation!$D$21,Présentation!$D$22,Présentation!$D$23,Présentation!$D$24),"")</f>
        <v/>
      </c>
      <c r="AP20" s="516">
        <f>IF(AM20="Non applicable",1,0)</f>
        <v>0</v>
      </c>
      <c r="AQ20" s="512">
        <f>IF(AM20="Non applicable",0,1/COUNTIF($AP$20:$AP$21,"=0"))</f>
        <v>0.5</v>
      </c>
      <c r="AR20" s="502" t="str">
        <f>IFERROR(AO20*AQ20,"")</f>
        <v/>
      </c>
      <c r="AS20" s="502"/>
      <c r="AT20" s="502"/>
      <c r="AU20" s="502"/>
      <c r="AV20" s="502"/>
      <c r="AW20" s="501"/>
      <c r="AX20" s="502"/>
      <c r="AY20" s="501"/>
      <c r="AZ20" s="501"/>
      <c r="BC20" s="510" t="str">
        <f t="shared" si="1"/>
        <v xml:space="preserve"> </v>
      </c>
    </row>
    <row r="21" spans="1:83" ht="37.5" customHeight="1" x14ac:dyDescent="0.25">
      <c r="B21" s="709"/>
      <c r="C21" s="387">
        <f t="shared" ref="C21:C27" si="2">IF(ISERROR(C20+1),C19+1,C20+1)</f>
        <v>7</v>
      </c>
      <c r="D21" s="274" t="s">
        <v>204</v>
      </c>
      <c r="E21" s="643"/>
      <c r="F21" s="643"/>
      <c r="G21" s="643"/>
      <c r="H21" s="643"/>
      <c r="I21" s="643"/>
      <c r="J21" s="643"/>
      <c r="K21" s="643"/>
      <c r="L21" s="643"/>
      <c r="M21" s="643"/>
      <c r="N21" s="643"/>
      <c r="O21" s="643"/>
      <c r="P21" s="643"/>
      <c r="Q21" s="643"/>
      <c r="R21" s="643"/>
      <c r="S21" s="643"/>
      <c r="T21" s="643"/>
      <c r="U21" s="1"/>
      <c r="V21" s="375" t="s">
        <v>102</v>
      </c>
      <c r="W21" s="659"/>
      <c r="X21" s="1" t="str">
        <f t="shared" ref="X21:X27" si="3">BC21</f>
        <v xml:space="preserve"> </v>
      </c>
      <c r="Y21" s="1"/>
      <c r="Z21" s="389" t="str">
        <f>IF($U21="Non","NA",$AO21)</f>
        <v/>
      </c>
      <c r="AA21" s="274" t="str">
        <f>IF(Exigences!Y21=Présentation!$L$20,'Plan d''actions'!E12,IF(Exigences!Y21=Présentation!$L$21,'Plan d''actions'!E12,"Pas de plan d'actions à suggérer!"))</f>
        <v>Pas de plan d'actions à suggérer!</v>
      </c>
      <c r="AB21" s="277"/>
      <c r="AC21" s="277"/>
      <c r="AD21" s="277"/>
      <c r="AE21" s="404"/>
      <c r="AF21" s="401"/>
      <c r="AG21" s="401"/>
      <c r="AH21" s="3" t="s">
        <v>61</v>
      </c>
      <c r="AJ21" s="41"/>
      <c r="AL21" s="507">
        <f>IF(AM21="Sous-Article","",IF(AL20="",AL19+1,AL20+1))</f>
        <v>7</v>
      </c>
      <c r="AM21" s="504">
        <f>Y21</f>
        <v>0</v>
      </c>
      <c r="AN21" s="504" t="str">
        <f>IFERROR((VLOOKUP($Y21,Présentation!$L$20:$M$24,2,FALSE)),"")</f>
        <v/>
      </c>
      <c r="AO21" s="502" t="str">
        <f>IFERROR(CHOOSE($AN21,"",Présentation!$D$20,Présentation!$D$21,Présentation!$D$22,Présentation!$D$23,Présentation!$D$24),"")</f>
        <v/>
      </c>
      <c r="AP21" s="516">
        <f>IF(AM21="Non applicable",1,0)</f>
        <v>0</v>
      </c>
      <c r="AQ21" s="512">
        <f>IF(AM21="Non applicable",0,1/COUNTIF($AP$20:$AP$21,"=0"))</f>
        <v>0.5</v>
      </c>
      <c r="AR21" s="502" t="str">
        <f t="shared" ref="AR21:AR27" si="4">IFERROR(AO21*AQ21,"")</f>
        <v/>
      </c>
      <c r="AS21" s="502"/>
      <c r="AT21" s="502"/>
      <c r="AU21" s="502"/>
      <c r="AV21" s="502"/>
      <c r="AW21" s="501"/>
      <c r="AX21" s="502"/>
      <c r="AY21" s="501"/>
      <c r="AZ21" s="501"/>
      <c r="BC21" s="510" t="str">
        <f t="shared" si="1"/>
        <v xml:space="preserve"> </v>
      </c>
    </row>
    <row r="22" spans="1:83" ht="30" customHeight="1" x14ac:dyDescent="0.25">
      <c r="B22" s="224"/>
      <c r="C22" s="224" t="s">
        <v>111</v>
      </c>
      <c r="D22" s="231" t="s">
        <v>112</v>
      </c>
      <c r="E22" s="641"/>
      <c r="F22" s="641"/>
      <c r="G22" s="641"/>
      <c r="H22" s="641"/>
      <c r="I22" s="641"/>
      <c r="J22" s="641"/>
      <c r="K22" s="641"/>
      <c r="L22" s="641"/>
      <c r="M22" s="641"/>
      <c r="N22" s="641"/>
      <c r="O22" s="641"/>
      <c r="P22" s="641"/>
      <c r="Q22" s="641"/>
      <c r="R22" s="641"/>
      <c r="S22" s="641"/>
      <c r="T22" s="641"/>
      <c r="U22" s="172" t="s">
        <v>261</v>
      </c>
      <c r="V22" s="172" t="s">
        <v>104</v>
      </c>
      <c r="W22" s="269" t="s">
        <v>188</v>
      </c>
      <c r="X22" s="172" t="s">
        <v>262</v>
      </c>
      <c r="Y22" s="172" t="str">
        <f>AS22</f>
        <v>Niveau non applicable</v>
      </c>
      <c r="Z22" s="172" t="str">
        <f>IF($Y22="Niveau non applicable","NA",$AR22)</f>
        <v>NA</v>
      </c>
      <c r="AA22" s="172" t="s">
        <v>296</v>
      </c>
      <c r="AB22" s="276" t="s">
        <v>638</v>
      </c>
      <c r="AC22" s="276" t="s">
        <v>605</v>
      </c>
      <c r="AD22" s="276" t="s">
        <v>279</v>
      </c>
      <c r="AE22" s="405" t="s">
        <v>280</v>
      </c>
      <c r="AF22" s="402" t="s">
        <v>281</v>
      </c>
      <c r="AG22" s="276" t="s">
        <v>527</v>
      </c>
      <c r="AH22" s="253" t="s">
        <v>101</v>
      </c>
      <c r="AJ22" s="41"/>
      <c r="AL22" s="507"/>
      <c r="AM22" s="511" t="s">
        <v>24</v>
      </c>
      <c r="AN22" s="511"/>
      <c r="AO22" s="501" t="s">
        <v>28</v>
      </c>
      <c r="AP22" s="501"/>
      <c r="AQ22" s="512">
        <f>SUM(AQ23:AQ27)</f>
        <v>1</v>
      </c>
      <c r="AR22" s="502">
        <f>IFERROR(SUM(AR23:AR27),"")</f>
        <v>0</v>
      </c>
      <c r="AS22" s="505" t="str">
        <f>IFERROR(IF(AR22=Présentation!$F$24,Présentation!$H$24,IF(AR22&lt;=Présentation!$F$20,Présentation!$G$20,IF(AR22&lt;=Présentation!$F$21,Présentation!$G$21,IF(AR22&lt;=Présentation!$F$22,Présentation!$G$22,Présentation!$G$23)))),"")</f>
        <v>Niveau non applicable</v>
      </c>
      <c r="AT22" s="513">
        <f>IF(AS22="Niveau Non applicable",1,0)</f>
        <v>1</v>
      </c>
      <c r="AU22" s="502">
        <f>IF(AS22="Niveau Non applicable",0,1/COUNTIF($AT$12:$AT$27,"=0"))</f>
        <v>0</v>
      </c>
      <c r="AV22" s="502">
        <f>AU22*AR22</f>
        <v>0</v>
      </c>
      <c r="AW22" s="501"/>
      <c r="AX22" s="502"/>
      <c r="AY22" s="501"/>
      <c r="AZ22" s="501"/>
      <c r="BC22" s="510" t="str">
        <f t="shared" si="1"/>
        <v xml:space="preserve"> </v>
      </c>
    </row>
    <row r="23" spans="1:83" ht="54" customHeight="1" x14ac:dyDescent="0.25">
      <c r="B23" s="646" t="s">
        <v>258</v>
      </c>
      <c r="C23" s="387">
        <f>IF(ISERROR(C22+1),C21+1,C22+1)</f>
        <v>8</v>
      </c>
      <c r="D23" s="274" t="s">
        <v>205</v>
      </c>
      <c r="E23" s="642"/>
      <c r="F23" s="642"/>
      <c r="G23" s="642"/>
      <c r="H23" s="642"/>
      <c r="I23" s="642"/>
      <c r="J23" s="642"/>
      <c r="K23" s="642"/>
      <c r="L23" s="642"/>
      <c r="M23" s="642"/>
      <c r="N23" s="642"/>
      <c r="O23" s="642"/>
      <c r="P23" s="642"/>
      <c r="Q23" s="642"/>
      <c r="R23" s="642"/>
      <c r="S23" s="642"/>
      <c r="T23" s="642"/>
      <c r="U23" s="1"/>
      <c r="V23" s="375" t="s">
        <v>103</v>
      </c>
      <c r="W23" s="655" t="s">
        <v>297</v>
      </c>
      <c r="X23" s="1" t="str">
        <f t="shared" si="3"/>
        <v xml:space="preserve"> </v>
      </c>
      <c r="Y23" s="1"/>
      <c r="Z23" s="389" t="str">
        <f>IF($U23="Non","NA",$AO23)</f>
        <v/>
      </c>
      <c r="AA23" s="274" t="str">
        <f>IF(Exigences!Y23=Présentation!$L$20,'Plan d''actions'!E14,IF(Exigences!Y23=Présentation!$L$21,'Plan d''actions'!E14,"Pas de plan d'actions à suggérer!"))</f>
        <v>Pas de plan d'actions à suggérer!</v>
      </c>
      <c r="AB23" s="277"/>
      <c r="AC23" s="277"/>
      <c r="AD23" s="277"/>
      <c r="AE23" s="404"/>
      <c r="AF23" s="401"/>
      <c r="AG23" s="401"/>
      <c r="AH23" s="3" t="s">
        <v>61</v>
      </c>
      <c r="AJ23" s="41"/>
      <c r="AL23" s="507">
        <f>IF(AM23="Sous-Article","",IF(AL21="",AL20+1,AL21+1))</f>
        <v>8</v>
      </c>
      <c r="AM23" s="504">
        <f>Y23</f>
        <v>0</v>
      </c>
      <c r="AN23" s="504" t="str">
        <f>IFERROR((VLOOKUP($Y23,Présentation!$L$20:$M$24,2,FALSE)),"")</f>
        <v/>
      </c>
      <c r="AO23" s="502" t="str">
        <f>IFERROR(CHOOSE($AN23,"",Présentation!$D$20,Présentation!$D$21,Présentation!$D$22,Présentation!$D$23,Présentation!$D$24),"")</f>
        <v/>
      </c>
      <c r="AP23" s="516">
        <f>IF(AM23="Non Applicable",1,0)</f>
        <v>0</v>
      </c>
      <c r="AQ23" s="512">
        <f>IF(AM23="Non applicable",0,1/COUNTIF($AP$23:$AP$27,"=0"))</f>
        <v>0.2</v>
      </c>
      <c r="AR23" s="502" t="str">
        <f>IFERROR(AO23*AQ23,"")</f>
        <v/>
      </c>
      <c r="AS23" s="502"/>
      <c r="AT23" s="502"/>
      <c r="AU23" s="502"/>
      <c r="AV23" s="502"/>
      <c r="AW23" s="501"/>
      <c r="AX23" s="502"/>
      <c r="AY23" s="501"/>
      <c r="AZ23" s="501"/>
      <c r="BC23" s="510" t="str">
        <f t="shared" si="1"/>
        <v xml:space="preserve"> </v>
      </c>
    </row>
    <row r="24" spans="1:83" ht="54" customHeight="1" x14ac:dyDescent="0.25">
      <c r="B24" s="647"/>
      <c r="C24" s="387">
        <f>IF(ISERROR(#REF!+1),C23+1,#REF!+1)</f>
        <v>9</v>
      </c>
      <c r="D24" s="274" t="s">
        <v>225</v>
      </c>
      <c r="E24" s="642"/>
      <c r="F24" s="642"/>
      <c r="G24" s="642"/>
      <c r="H24" s="642"/>
      <c r="I24" s="642"/>
      <c r="J24" s="642"/>
      <c r="K24" s="642"/>
      <c r="L24" s="642"/>
      <c r="M24" s="642"/>
      <c r="N24" s="642"/>
      <c r="O24" s="642"/>
      <c r="P24" s="642"/>
      <c r="Q24" s="642"/>
      <c r="R24" s="642"/>
      <c r="S24" s="642"/>
      <c r="T24" s="642"/>
      <c r="U24" s="1"/>
      <c r="V24" s="375" t="s">
        <v>103</v>
      </c>
      <c r="W24" s="655"/>
      <c r="X24" s="1" t="str">
        <f t="shared" si="3"/>
        <v xml:space="preserve"> </v>
      </c>
      <c r="Y24" s="1"/>
      <c r="Z24" s="389" t="str">
        <f>IF($U24="Non","NA",$AO24)</f>
        <v/>
      </c>
      <c r="AA24" s="274" t="str">
        <f>IF(Exigences!Y24=Présentation!$L$20,'Plan d''actions'!E15,IF(Exigences!Y24=Présentation!$L$21,'Plan d''actions'!E15,"Pas de plan d'actions à suggérer!"))</f>
        <v>Pas de plan d'actions à suggérer!</v>
      </c>
      <c r="AB24" s="277"/>
      <c r="AC24" s="277"/>
      <c r="AD24" s="277"/>
      <c r="AE24" s="404"/>
      <c r="AF24" s="401"/>
      <c r="AG24" s="401"/>
      <c r="AH24" s="3" t="s">
        <v>61</v>
      </c>
      <c r="AJ24" s="42"/>
      <c r="AL24" s="507">
        <f>IF(AM24="Sous-Article","",IF(AL23="",AL22+1,AL23+1))</f>
        <v>9</v>
      </c>
      <c r="AM24" s="504">
        <f>Y24</f>
        <v>0</v>
      </c>
      <c r="AN24" s="504" t="str">
        <f>IFERROR((VLOOKUP($Y24,Présentation!$L$20:$M$24,2,FALSE)),"")</f>
        <v/>
      </c>
      <c r="AO24" s="502" t="str">
        <f>IFERROR(CHOOSE($AN24,"",Présentation!$D$20,Présentation!$D$21,Présentation!$D$22,Présentation!$D$23,Présentation!$D$24),"")</f>
        <v/>
      </c>
      <c r="AP24" s="516">
        <f>IF(AM24="Non Applicable",1,0)</f>
        <v>0</v>
      </c>
      <c r="AQ24" s="512">
        <f>IF(AM24="Non applicable",0,1/COUNTIF($AP$23:$AP$27,"=0"))</f>
        <v>0.2</v>
      </c>
      <c r="AR24" s="502" t="str">
        <f t="shared" si="4"/>
        <v/>
      </c>
      <c r="AS24" s="502"/>
      <c r="AT24" s="502"/>
      <c r="AU24" s="502"/>
      <c r="AV24" s="502"/>
      <c r="AW24" s="501"/>
      <c r="AX24" s="502"/>
      <c r="AY24" s="501"/>
      <c r="AZ24" s="501"/>
      <c r="BC24" s="510" t="str">
        <f t="shared" si="1"/>
        <v xml:space="preserve"> </v>
      </c>
    </row>
    <row r="25" spans="1:83" ht="45" customHeight="1" x14ac:dyDescent="0.25">
      <c r="B25" s="647"/>
      <c r="C25" s="387">
        <f>IF(ISERROR(C24+1),#REF!+1,C24+1)</f>
        <v>10</v>
      </c>
      <c r="D25" s="274" t="s">
        <v>206</v>
      </c>
      <c r="E25" s="642"/>
      <c r="F25" s="642"/>
      <c r="G25" s="642"/>
      <c r="H25" s="642"/>
      <c r="I25" s="642"/>
      <c r="J25" s="642"/>
      <c r="K25" s="642"/>
      <c r="L25" s="642"/>
      <c r="M25" s="642"/>
      <c r="N25" s="642"/>
      <c r="O25" s="642"/>
      <c r="P25" s="642"/>
      <c r="Q25" s="642"/>
      <c r="R25" s="642"/>
      <c r="S25" s="642"/>
      <c r="T25" s="642"/>
      <c r="U25" s="1"/>
      <c r="V25" s="375" t="s">
        <v>103</v>
      </c>
      <c r="W25" s="656" t="s">
        <v>226</v>
      </c>
      <c r="X25" s="1" t="str">
        <f t="shared" si="3"/>
        <v xml:space="preserve"> </v>
      </c>
      <c r="Y25" s="1"/>
      <c r="Z25" s="389" t="str">
        <f>IF($U25="Non","NA",$AO25)</f>
        <v/>
      </c>
      <c r="AA25" s="274" t="str">
        <f>IF(Exigences!Y25=Présentation!$L$20,'Plan d''actions'!E16,IF(Exigences!Y25=Présentation!$L$21,'Plan d''actions'!E16,"Pas de plan d'actions à suggérer!"))</f>
        <v>Pas de plan d'actions à suggérer!</v>
      </c>
      <c r="AB25" s="277"/>
      <c r="AC25" s="277"/>
      <c r="AD25" s="277"/>
      <c r="AE25" s="404"/>
      <c r="AF25" s="401"/>
      <c r="AG25" s="401"/>
      <c r="AH25" s="3" t="s">
        <v>61</v>
      </c>
      <c r="AJ25" s="42"/>
      <c r="AL25" s="507">
        <f>IF(AM25="Sous-Article","",IF(AL24="",AL23+1,AL24+1))</f>
        <v>10</v>
      </c>
      <c r="AM25" s="504">
        <f>Y25</f>
        <v>0</v>
      </c>
      <c r="AN25" s="504" t="str">
        <f>IFERROR((VLOOKUP($Y25,Présentation!$L$20:$M$24,2,FALSE)),"")</f>
        <v/>
      </c>
      <c r="AO25" s="502" t="str">
        <f>IFERROR(CHOOSE($AN25,"",Présentation!$D$20,Présentation!$D$21,Présentation!$D$22,Présentation!$D$23,Présentation!$D$24),"")</f>
        <v/>
      </c>
      <c r="AP25" s="516">
        <f>IF(AM25="Non Applicable",1,0)</f>
        <v>0</v>
      </c>
      <c r="AQ25" s="512">
        <f>IF(AM25="Non applicable",0,1/COUNTIF($AP$23:$AP$27,"=0"))</f>
        <v>0.2</v>
      </c>
      <c r="AR25" s="502" t="str">
        <f t="shared" si="4"/>
        <v/>
      </c>
      <c r="AS25" s="502"/>
      <c r="AT25" s="502"/>
      <c r="AU25" s="502"/>
      <c r="AV25" s="502"/>
      <c r="AW25" s="501"/>
      <c r="AX25" s="502"/>
      <c r="AY25" s="501"/>
      <c r="AZ25" s="501"/>
      <c r="BC25" s="510" t="str">
        <f t="shared" si="1"/>
        <v xml:space="preserve"> </v>
      </c>
    </row>
    <row r="26" spans="1:83" ht="41.25" customHeight="1" x14ac:dyDescent="0.25">
      <c r="B26" s="648"/>
      <c r="C26" s="387">
        <f t="shared" si="2"/>
        <v>11</v>
      </c>
      <c r="D26" s="274" t="s">
        <v>227</v>
      </c>
      <c r="E26" s="642"/>
      <c r="F26" s="642"/>
      <c r="G26" s="642"/>
      <c r="H26" s="642"/>
      <c r="I26" s="642"/>
      <c r="J26" s="642"/>
      <c r="K26" s="642"/>
      <c r="L26" s="642"/>
      <c r="M26" s="642"/>
      <c r="N26" s="642"/>
      <c r="O26" s="642"/>
      <c r="P26" s="642"/>
      <c r="Q26" s="642"/>
      <c r="R26" s="642"/>
      <c r="S26" s="642"/>
      <c r="T26" s="642"/>
      <c r="U26" s="1"/>
      <c r="V26" s="375" t="s">
        <v>102</v>
      </c>
      <c r="W26" s="657"/>
      <c r="X26" s="1" t="str">
        <f t="shared" si="3"/>
        <v xml:space="preserve"> </v>
      </c>
      <c r="Y26" s="1"/>
      <c r="Z26" s="389" t="str">
        <f>IF($U26="Non","NA",$AO26)</f>
        <v/>
      </c>
      <c r="AA26" s="274" t="str">
        <f>IF(Exigences!Y26=Présentation!$L$20,'Plan d''actions'!E17,IF(Exigences!Y26=Présentation!$L$21,'Plan d''actions'!E17,"Pas de plan d'actions à suggérer!"))</f>
        <v>Pas de plan d'actions à suggérer!</v>
      </c>
      <c r="AB26" s="277"/>
      <c r="AC26" s="277"/>
      <c r="AD26" s="277"/>
      <c r="AE26" s="404"/>
      <c r="AF26" s="401"/>
      <c r="AG26" s="401"/>
      <c r="AH26" s="3" t="s">
        <v>61</v>
      </c>
      <c r="AJ26" s="42"/>
      <c r="AL26" s="507">
        <f>IF(AM26="Sous-Article","",IF(AL25="",AL24+1,AL25+1))</f>
        <v>11</v>
      </c>
      <c r="AM26" s="504">
        <f>Y26</f>
        <v>0</v>
      </c>
      <c r="AN26" s="504" t="str">
        <f>IFERROR((VLOOKUP($Y26,Présentation!$L$20:$M$24,2,FALSE)),"")</f>
        <v/>
      </c>
      <c r="AO26" s="502" t="str">
        <f>IFERROR(CHOOSE($AN26,"",Présentation!$D$20,Présentation!$D$21,Présentation!$D$22,Présentation!$D$23,Présentation!$D$24),"")</f>
        <v/>
      </c>
      <c r="AP26" s="516">
        <f>IF(AM26="Non Applicable",1,0)</f>
        <v>0</v>
      </c>
      <c r="AQ26" s="512">
        <f>IF(AM26="Non applicable",0,1/COUNTIF($AP$23:$AP$27,"=0"))</f>
        <v>0.2</v>
      </c>
      <c r="AR26" s="502" t="str">
        <f t="shared" si="4"/>
        <v/>
      </c>
      <c r="AS26" s="502"/>
      <c r="AT26" s="502"/>
      <c r="AU26" s="502"/>
      <c r="AV26" s="502"/>
      <c r="AW26" s="501"/>
      <c r="AX26" s="502"/>
      <c r="AY26" s="501"/>
      <c r="AZ26" s="501"/>
      <c r="BC26" s="510" t="str">
        <f t="shared" si="1"/>
        <v xml:space="preserve"> </v>
      </c>
    </row>
    <row r="27" spans="1:83" ht="43.5" customHeight="1" x14ac:dyDescent="0.25">
      <c r="B27" s="271" t="s">
        <v>257</v>
      </c>
      <c r="C27" s="387">
        <f t="shared" si="2"/>
        <v>12</v>
      </c>
      <c r="D27" s="382" t="s">
        <v>207</v>
      </c>
      <c r="E27" s="643"/>
      <c r="F27" s="643"/>
      <c r="G27" s="643"/>
      <c r="H27" s="643"/>
      <c r="I27" s="643"/>
      <c r="J27" s="643"/>
      <c r="K27" s="643"/>
      <c r="L27" s="643"/>
      <c r="M27" s="643"/>
      <c r="N27" s="643"/>
      <c r="O27" s="643"/>
      <c r="P27" s="643"/>
      <c r="Q27" s="643"/>
      <c r="R27" s="643"/>
      <c r="S27" s="643"/>
      <c r="T27" s="643"/>
      <c r="U27" s="1"/>
      <c r="V27" s="375" t="s">
        <v>102</v>
      </c>
      <c r="W27" s="390" t="s">
        <v>210</v>
      </c>
      <c r="X27" s="1" t="str">
        <f t="shared" si="3"/>
        <v xml:space="preserve"> </v>
      </c>
      <c r="Y27" s="1"/>
      <c r="Z27" s="389" t="str">
        <f>IF($U27="Non","NA",$AO27)</f>
        <v/>
      </c>
      <c r="AA27" s="274" t="str">
        <f>IF(Exigences!Y27=Présentation!$L$20,'Plan d''actions'!E18,IF(Exigences!Y27=Présentation!$L$21,'Plan d''actions'!E18,"Pas de plan d'actions à suggérer!"))</f>
        <v>Pas de plan d'actions à suggérer!</v>
      </c>
      <c r="AB27" s="277"/>
      <c r="AC27" s="277"/>
      <c r="AD27" s="277"/>
      <c r="AE27" s="404"/>
      <c r="AF27" s="401"/>
      <c r="AG27" s="401"/>
      <c r="AH27" s="3" t="s">
        <v>61</v>
      </c>
      <c r="AJ27" s="42"/>
      <c r="AL27" s="507">
        <f>IF(AM27="Sous-Article","",IF(AL26="",AL25+1,AL26+1))</f>
        <v>12</v>
      </c>
      <c r="AM27" s="504">
        <f>Y27</f>
        <v>0</v>
      </c>
      <c r="AN27" s="504" t="str">
        <f>IFERROR((VLOOKUP($Y27,Présentation!$L$20:$M$24,2,FALSE)),"")</f>
        <v/>
      </c>
      <c r="AO27" s="502" t="str">
        <f>IFERROR(CHOOSE($AN27,"",Présentation!$D$20,Présentation!$D$21,Présentation!$D$22,Présentation!$D$23,Présentation!$D$24),"")</f>
        <v/>
      </c>
      <c r="AP27" s="516">
        <f>IF(AM27="Non Applicable",1,0)</f>
        <v>0</v>
      </c>
      <c r="AQ27" s="512">
        <f>IF(AM27="Non applicable",0,1/COUNTIF($AP$23:$AP$27,"=0"))</f>
        <v>0.2</v>
      </c>
      <c r="AR27" s="502" t="str">
        <f t="shared" si="4"/>
        <v/>
      </c>
      <c r="AS27" s="502"/>
      <c r="AT27" s="502"/>
      <c r="AU27" s="502"/>
      <c r="AV27" s="502"/>
      <c r="AW27" s="502"/>
      <c r="AX27" s="502"/>
      <c r="AY27" s="501"/>
      <c r="AZ27" s="501"/>
      <c r="BC27" s="510" t="str">
        <f t="shared" si="1"/>
        <v xml:space="preserve"> </v>
      </c>
      <c r="BE27" s="510"/>
    </row>
    <row r="28" spans="1:83" s="251" customFormat="1" ht="30" customHeight="1" x14ac:dyDescent="0.25">
      <c r="B28" s="223"/>
      <c r="C28" s="223">
        <v>5</v>
      </c>
      <c r="D28" s="230" t="s">
        <v>126</v>
      </c>
      <c r="E28" s="396"/>
      <c r="F28" s="396"/>
      <c r="G28" s="396"/>
      <c r="H28" s="396"/>
      <c r="I28" s="396"/>
      <c r="J28" s="396"/>
      <c r="K28" s="396"/>
      <c r="L28" s="396"/>
      <c r="M28" s="396"/>
      <c r="N28" s="396"/>
      <c r="O28" s="396"/>
      <c r="P28" s="396"/>
      <c r="Q28" s="396"/>
      <c r="R28" s="396"/>
      <c r="S28" s="396"/>
      <c r="T28" s="396"/>
      <c r="U28" s="255" t="s">
        <v>261</v>
      </c>
      <c r="V28" s="653" t="s">
        <v>100</v>
      </c>
      <c r="W28" s="654"/>
      <c r="X28" s="654"/>
      <c r="Y28" s="171" t="str">
        <f>AW28</f>
        <v>Niveau non applicable</v>
      </c>
      <c r="Z28" s="171" t="str">
        <f>IF($Y28="Niveau non applicable","NA",AV28)</f>
        <v>NA</v>
      </c>
      <c r="AA28" s="171" t="s">
        <v>296</v>
      </c>
      <c r="AB28" s="171" t="s">
        <v>638</v>
      </c>
      <c r="AC28" s="171" t="s">
        <v>605</v>
      </c>
      <c r="AD28" s="171" t="s">
        <v>279</v>
      </c>
      <c r="AE28" s="406" t="s">
        <v>280</v>
      </c>
      <c r="AF28" s="403" t="s">
        <v>281</v>
      </c>
      <c r="AG28" s="403" t="s">
        <v>527</v>
      </c>
      <c r="AH28" s="254" t="s">
        <v>101</v>
      </c>
      <c r="AI28" s="111"/>
      <c r="AJ28" s="42"/>
      <c r="AK28" s="183"/>
      <c r="AL28" s="507" t="str">
        <f>IF(AM28="Article","",IF(#REF!="",#REF!+1,#REF!+1))</f>
        <v/>
      </c>
      <c r="AM28" s="504" t="s">
        <v>23</v>
      </c>
      <c r="AN28" s="504"/>
      <c r="AO28" s="501"/>
      <c r="AP28" s="501"/>
      <c r="AQ28" s="512"/>
      <c r="AR28" s="502"/>
      <c r="AS28" s="502" t="s">
        <v>28</v>
      </c>
      <c r="AT28" s="502"/>
      <c r="AU28" s="507">
        <f>SUM(AU29:AU46)</f>
        <v>0</v>
      </c>
      <c r="AV28" s="507">
        <f>SUM(AV29:AV46)</f>
        <v>0</v>
      </c>
      <c r="AW28" s="505" t="str">
        <f>IFERROR(IF(AV28=Présentation!$D$24,Présentation!$H$24,IF(AV28&lt;=Présentation!$F$20,Présentation!$G$20,IF(AV28&lt;=Présentation!$F$21,Présentation!$G$21,IF(AV28&lt;=Présentation!$F$22,Présentation!$G$22,Présentation!$G$23)))),"")</f>
        <v>Niveau non applicable</v>
      </c>
      <c r="AX28" s="502">
        <f>1/7</f>
        <v>0.14285714285714285</v>
      </c>
      <c r="AY28" s="502">
        <f>AV28*AX28</f>
        <v>0</v>
      </c>
      <c r="AZ28" s="508"/>
      <c r="BA28" s="510"/>
      <c r="BB28" s="510"/>
      <c r="BC28" s="510" t="str">
        <f t="shared" si="1"/>
        <v xml:space="preserve"> </v>
      </c>
      <c r="BD28" s="510"/>
      <c r="BE28" s="496"/>
      <c r="BF28" s="510"/>
      <c r="BG28" s="510"/>
      <c r="BH28" s="51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row>
    <row r="29" spans="1:83" ht="30" customHeight="1" x14ac:dyDescent="0.25">
      <c r="B29" s="273"/>
      <c r="C29" s="224" t="s">
        <v>127</v>
      </c>
      <c r="D29" s="231" t="s">
        <v>128</v>
      </c>
      <c r="E29" s="397"/>
      <c r="F29" s="396"/>
      <c r="G29" s="396"/>
      <c r="H29" s="396"/>
      <c r="I29" s="396"/>
      <c r="J29" s="396"/>
      <c r="K29" s="396"/>
      <c r="L29" s="396"/>
      <c r="M29" s="396"/>
      <c r="N29" s="396"/>
      <c r="O29" s="396"/>
      <c r="P29" s="396"/>
      <c r="Q29" s="396"/>
      <c r="R29" s="396"/>
      <c r="S29" s="396"/>
      <c r="T29" s="396"/>
      <c r="U29" s="172" t="s">
        <v>261</v>
      </c>
      <c r="V29" s="172" t="s">
        <v>104</v>
      </c>
      <c r="W29" s="172" t="s">
        <v>188</v>
      </c>
      <c r="X29" s="172" t="s">
        <v>262</v>
      </c>
      <c r="Y29" s="172" t="str">
        <f>AS29</f>
        <v>Niveau non applicable</v>
      </c>
      <c r="Z29" s="172" t="str">
        <f>IF($Y29="Niveau non applicable","NA",$AR29)</f>
        <v>NA</v>
      </c>
      <c r="AA29" s="172" t="s">
        <v>296</v>
      </c>
      <c r="AB29" s="276" t="s">
        <v>638</v>
      </c>
      <c r="AC29" s="276" t="s">
        <v>605</v>
      </c>
      <c r="AD29" s="276" t="s">
        <v>279</v>
      </c>
      <c r="AE29" s="405" t="s">
        <v>280</v>
      </c>
      <c r="AF29" s="402" t="s">
        <v>281</v>
      </c>
      <c r="AG29" s="276" t="s">
        <v>527</v>
      </c>
      <c r="AH29" s="253" t="s">
        <v>101</v>
      </c>
      <c r="AJ29" s="42"/>
      <c r="AL29" s="507" t="str">
        <f>IF(AM29="Sous-Article","",IF(AL28="",#REF!+1,AL28+1))</f>
        <v/>
      </c>
      <c r="AM29" s="511" t="s">
        <v>24</v>
      </c>
      <c r="AN29" s="511"/>
      <c r="AO29" s="501" t="s">
        <v>28</v>
      </c>
      <c r="AP29" s="501"/>
      <c r="AQ29" s="512">
        <f>SUM(AQ30:AQ36)</f>
        <v>0.99999999999999978</v>
      </c>
      <c r="AR29" s="502">
        <f>IFERROR(SUM(AR30:AR36),"")</f>
        <v>0</v>
      </c>
      <c r="AS29" s="505" t="str">
        <f>IFERROR(IF(AR29=Présentation!$F$24,Présentation!$H$24,IF(AR29&lt;=Présentation!$F$20,Présentation!$G$20,IF(AR29&lt;=Présentation!$F$21,Présentation!$G$21,IF(AR29&lt;=Présentation!$F$22,Présentation!$G$22,Présentation!$G$23)))),"")</f>
        <v>Niveau non applicable</v>
      </c>
      <c r="AT29" s="513">
        <f>IF(AS29="Niveau Non applicable",1,0)</f>
        <v>1</v>
      </c>
      <c r="AU29" s="502">
        <f>IF(AS29="Niveau Non applicable",0,1/COUNTIF($AT$29:$AT$46,"=0"))</f>
        <v>0</v>
      </c>
      <c r="AV29" s="502">
        <f>AU29*AR29</f>
        <v>0</v>
      </c>
      <c r="AW29" s="508"/>
      <c r="AX29" s="514"/>
      <c r="AY29" s="508"/>
      <c r="AZ29" s="508"/>
      <c r="BC29" s="510" t="str">
        <f t="shared" si="1"/>
        <v xml:space="preserve"> </v>
      </c>
    </row>
    <row r="30" spans="1:83" ht="31.5" customHeight="1" x14ac:dyDescent="0.25">
      <c r="A30" s="272"/>
      <c r="B30" s="646" t="s">
        <v>258</v>
      </c>
      <c r="C30" s="388">
        <f>IF(ISERROR(C29+1),C27+1,C29+1)</f>
        <v>13</v>
      </c>
      <c r="D30" s="274" t="s">
        <v>248</v>
      </c>
      <c r="E30" s="397"/>
      <c r="F30" s="397"/>
      <c r="G30" s="397"/>
      <c r="H30" s="397"/>
      <c r="I30" s="397"/>
      <c r="J30" s="397"/>
      <c r="K30" s="397"/>
      <c r="L30" s="397"/>
      <c r="M30" s="397"/>
      <c r="N30" s="397"/>
      <c r="O30" s="397"/>
      <c r="P30" s="397"/>
      <c r="Q30" s="397"/>
      <c r="R30" s="397"/>
      <c r="S30" s="397"/>
      <c r="T30" s="397"/>
      <c r="U30" s="1"/>
      <c r="V30" s="375" t="s">
        <v>103</v>
      </c>
      <c r="W30" s="658" t="s">
        <v>212</v>
      </c>
      <c r="X30" s="1" t="str">
        <f t="shared" ref="X30:X36" si="5">BC30</f>
        <v xml:space="preserve"> </v>
      </c>
      <c r="Y30" s="1"/>
      <c r="Z30" s="389" t="str">
        <f t="shared" ref="Z30:Z36" si="6">IF($U30="Non","NA",$AO30)</f>
        <v/>
      </c>
      <c r="AA30" s="274" t="str">
        <f>IF(Exigences!Y30=Présentation!$L$20,'Plan d''actions'!E21,IF(Exigences!Y30=Présentation!$L$21,'Plan d''actions'!E21,"Pas de plan d'actions à suggérer!"))</f>
        <v>Pas de plan d'actions à suggérer!</v>
      </c>
      <c r="AB30" s="277"/>
      <c r="AC30" s="277"/>
      <c r="AD30" s="277"/>
      <c r="AE30" s="404"/>
      <c r="AF30" s="401"/>
      <c r="AG30" s="401"/>
      <c r="AH30" s="3" t="s">
        <v>61</v>
      </c>
      <c r="AJ30" s="42"/>
      <c r="AL30" s="507">
        <f>IF(AM30="Sous-Article","",IF(AL29="",AL27+1,AL29+1))</f>
        <v>13</v>
      </c>
      <c r="AM30" s="504">
        <f t="shared" ref="AM30:AM36" si="7">Y30</f>
        <v>0</v>
      </c>
      <c r="AN30" s="504" t="str">
        <f>IFERROR((VLOOKUP($Y30,Présentation!$L$20:$M$24,2,FALSE)),"")</f>
        <v/>
      </c>
      <c r="AO30" s="502" t="str">
        <f>IFERROR(CHOOSE($AN30,"",Présentation!$D$20,Présentation!$D$21,Présentation!$D$22,Présentation!$D$23,Présentation!$D$24),"")</f>
        <v/>
      </c>
      <c r="AP30" s="516">
        <f t="shared" ref="AP30:AP36" si="8">IF(AM30="Non applicable",1,0)</f>
        <v>0</v>
      </c>
      <c r="AQ30" s="512">
        <f>IF(AM30="Non applicable",0,1/COUNTIF($AP$30:$AP$36,"=0"))</f>
        <v>0.14285714285714285</v>
      </c>
      <c r="AR30" s="502" t="str">
        <f t="shared" ref="AR30:AR36" si="9">IFERROR(AO30*AQ30,"")</f>
        <v/>
      </c>
      <c r="AS30" s="502"/>
      <c r="AT30" s="502"/>
      <c r="AU30" s="502"/>
      <c r="AV30" s="502"/>
      <c r="AW30" s="501"/>
      <c r="AX30" s="502"/>
      <c r="AY30" s="501"/>
      <c r="AZ30" s="501"/>
      <c r="BC30" s="510" t="str">
        <f t="shared" si="1"/>
        <v xml:space="preserve"> </v>
      </c>
    </row>
    <row r="31" spans="1:83" ht="36.75" customHeight="1" x14ac:dyDescent="0.25">
      <c r="A31" s="272"/>
      <c r="B31" s="647"/>
      <c r="C31" s="388">
        <f>IF(ISERROR(C30+1),C29+1,C30+1)</f>
        <v>14</v>
      </c>
      <c r="D31" s="274" t="s">
        <v>249</v>
      </c>
      <c r="E31" s="398"/>
      <c r="F31" s="398"/>
      <c r="G31" s="398"/>
      <c r="H31" s="398"/>
      <c r="I31" s="398"/>
      <c r="J31" s="398"/>
      <c r="K31" s="398"/>
      <c r="L31" s="398"/>
      <c r="M31" s="398"/>
      <c r="N31" s="398"/>
      <c r="O31" s="398"/>
      <c r="P31" s="398"/>
      <c r="Q31" s="398"/>
      <c r="R31" s="398"/>
      <c r="S31" s="398"/>
      <c r="T31" s="398"/>
      <c r="U31" s="1"/>
      <c r="V31" s="375" t="s">
        <v>103</v>
      </c>
      <c r="W31" s="659"/>
      <c r="X31" s="1" t="str">
        <f t="shared" si="5"/>
        <v xml:space="preserve"> </v>
      </c>
      <c r="Y31" s="1"/>
      <c r="Z31" s="389" t="str">
        <f t="shared" si="6"/>
        <v/>
      </c>
      <c r="AA31" s="274" t="str">
        <f>IF(Exigences!Y31=Présentation!$L$20,'Plan d''actions'!E22,IF(Exigences!Y31=Présentation!$L$21,'Plan d''actions'!E22,"Pas de plan d'actions à suggérer!"))</f>
        <v>Pas de plan d'actions à suggérer!</v>
      </c>
      <c r="AB31" s="277"/>
      <c r="AC31" s="277"/>
      <c r="AD31" s="277"/>
      <c r="AE31" s="404"/>
      <c r="AF31" s="401"/>
      <c r="AG31" s="401"/>
      <c r="AH31" s="3" t="s">
        <v>61</v>
      </c>
      <c r="AJ31" s="42"/>
      <c r="AL31" s="507">
        <f>IF(AM31="Sous-Article","",IF(AL30="",AL29+1,AL30+1))</f>
        <v>14</v>
      </c>
      <c r="AM31" s="504">
        <f t="shared" si="7"/>
        <v>0</v>
      </c>
      <c r="AN31" s="504" t="str">
        <f>IFERROR((VLOOKUP($Y31,Présentation!$L$20:$M$24,2,FALSE)),"")</f>
        <v/>
      </c>
      <c r="AO31" s="502" t="str">
        <f>IFERROR(CHOOSE($AN31,"",Présentation!$D$20,Présentation!$D$21,Présentation!$D$22,Présentation!$D$23,Présentation!$D$24),"")</f>
        <v/>
      </c>
      <c r="AP31" s="516">
        <f t="shared" si="8"/>
        <v>0</v>
      </c>
      <c r="AQ31" s="512">
        <f t="shared" ref="AQ31:AQ36" si="10">IF(AM31="Non applicable",0,1/COUNTIF($AP$30:$AP$36,"=0"))</f>
        <v>0.14285714285714285</v>
      </c>
      <c r="AR31" s="502" t="str">
        <f t="shared" si="9"/>
        <v/>
      </c>
      <c r="AS31" s="502"/>
      <c r="AT31" s="502"/>
      <c r="AU31" s="502"/>
      <c r="AV31" s="502"/>
      <c r="AW31" s="501"/>
      <c r="AX31" s="502"/>
      <c r="AY31" s="501"/>
      <c r="AZ31" s="501"/>
      <c r="BC31" s="510" t="str">
        <f t="shared" si="1"/>
        <v xml:space="preserve"> </v>
      </c>
    </row>
    <row r="32" spans="1:83" ht="24" customHeight="1" x14ac:dyDescent="0.25">
      <c r="A32" s="272"/>
      <c r="B32" s="647"/>
      <c r="C32" s="388">
        <f>IF(ISERROR(C31+1),C30+1,C31+1)</f>
        <v>15</v>
      </c>
      <c r="D32" s="274" t="s">
        <v>211</v>
      </c>
      <c r="E32" s="398"/>
      <c r="F32" s="398"/>
      <c r="G32" s="398"/>
      <c r="H32" s="398"/>
      <c r="I32" s="398"/>
      <c r="J32" s="398"/>
      <c r="K32" s="398"/>
      <c r="L32" s="398"/>
      <c r="M32" s="398"/>
      <c r="N32" s="398"/>
      <c r="O32" s="398"/>
      <c r="P32" s="398"/>
      <c r="Q32" s="398"/>
      <c r="R32" s="398"/>
      <c r="S32" s="398"/>
      <c r="T32" s="398"/>
      <c r="U32" s="1"/>
      <c r="V32" s="375" t="s">
        <v>103</v>
      </c>
      <c r="W32" s="659"/>
      <c r="X32" s="1" t="str">
        <f t="shared" si="5"/>
        <v xml:space="preserve"> </v>
      </c>
      <c r="Y32" s="1"/>
      <c r="Z32" s="389" t="str">
        <f t="shared" si="6"/>
        <v/>
      </c>
      <c r="AA32" s="274" t="str">
        <f>IF(Exigences!Y32=Présentation!$L$20,'Plan d''actions'!E23,IF(Exigences!Y32=Présentation!$L$21,'Plan d''actions'!E23,"Pas de plan d'actions à suggérer!"))</f>
        <v>Pas de plan d'actions à suggérer!</v>
      </c>
      <c r="AB32" s="277"/>
      <c r="AC32" s="277"/>
      <c r="AD32" s="277"/>
      <c r="AE32" s="404"/>
      <c r="AF32" s="401"/>
      <c r="AG32" s="401"/>
      <c r="AH32" s="3" t="s">
        <v>61</v>
      </c>
      <c r="AJ32" s="42"/>
      <c r="AL32" s="507">
        <f>IF(AM32="Sous-Article","",IF(AL31="",AL30+1,AL31+1))</f>
        <v>15</v>
      </c>
      <c r="AM32" s="504">
        <f t="shared" si="7"/>
        <v>0</v>
      </c>
      <c r="AN32" s="504" t="str">
        <f>IFERROR((VLOOKUP($Y32,Présentation!$L$20:$M$24,2,FALSE)),"")</f>
        <v/>
      </c>
      <c r="AO32" s="502" t="str">
        <f>IFERROR(CHOOSE($AN32,"",Présentation!$D$20,Présentation!$D$21,Présentation!$D$22,Présentation!$D$23,Présentation!$D$24),"")</f>
        <v/>
      </c>
      <c r="AP32" s="516">
        <f t="shared" si="8"/>
        <v>0</v>
      </c>
      <c r="AQ32" s="512">
        <f t="shared" si="10"/>
        <v>0.14285714285714285</v>
      </c>
      <c r="AR32" s="502" t="str">
        <f t="shared" si="9"/>
        <v/>
      </c>
      <c r="AS32" s="502"/>
      <c r="AT32" s="502"/>
      <c r="AU32" s="502"/>
      <c r="AV32" s="502"/>
      <c r="AW32" s="501"/>
      <c r="AX32" s="502"/>
      <c r="AY32" s="501"/>
      <c r="AZ32" s="501"/>
      <c r="BC32" s="510" t="str">
        <f t="shared" si="1"/>
        <v xml:space="preserve"> </v>
      </c>
    </row>
    <row r="33" spans="1:83" ht="30" customHeight="1" x14ac:dyDescent="0.25">
      <c r="A33" s="272"/>
      <c r="B33" s="647"/>
      <c r="C33" s="388">
        <f>IF(ISERROR(C32+1),C31+1,C32+1)</f>
        <v>16</v>
      </c>
      <c r="D33" s="274" t="s">
        <v>259</v>
      </c>
      <c r="E33" s="398"/>
      <c r="F33" s="398"/>
      <c r="G33" s="398"/>
      <c r="H33" s="398"/>
      <c r="I33" s="398"/>
      <c r="J33" s="398"/>
      <c r="K33" s="398"/>
      <c r="L33" s="398"/>
      <c r="M33" s="398"/>
      <c r="N33" s="398"/>
      <c r="O33" s="398"/>
      <c r="P33" s="398"/>
      <c r="Q33" s="398"/>
      <c r="R33" s="398"/>
      <c r="S33" s="398"/>
      <c r="T33" s="398"/>
      <c r="U33" s="1"/>
      <c r="V33" s="375" t="s">
        <v>103</v>
      </c>
      <c r="W33" s="659"/>
      <c r="X33" s="1" t="str">
        <f t="shared" si="5"/>
        <v xml:space="preserve"> </v>
      </c>
      <c r="Y33" s="1"/>
      <c r="Z33" s="389" t="str">
        <f t="shared" si="6"/>
        <v/>
      </c>
      <c r="AA33" s="274" t="str">
        <f>IF(Exigences!Y33=Présentation!$L$20,'Plan d''actions'!E24,IF(Exigences!Y33=Présentation!$L$21,'Plan d''actions'!E24,"Pas de plan d'actions à suggérer!"))</f>
        <v>Pas de plan d'actions à suggérer!</v>
      </c>
      <c r="AB33" s="277"/>
      <c r="AC33" s="277"/>
      <c r="AD33" s="277"/>
      <c r="AE33" s="404"/>
      <c r="AF33" s="401"/>
      <c r="AG33" s="401"/>
      <c r="AH33" s="3" t="s">
        <v>61</v>
      </c>
      <c r="AJ33" s="42"/>
      <c r="AL33" s="507">
        <f>IF(AM33="Sous-Article","",IF(AL32="",#REF!+1,AL32+1))</f>
        <v>16</v>
      </c>
      <c r="AM33" s="504">
        <f t="shared" si="7"/>
        <v>0</v>
      </c>
      <c r="AN33" s="504" t="str">
        <f>IFERROR((VLOOKUP($Y33,Présentation!$L$20:$M$24,2,FALSE)),"")</f>
        <v/>
      </c>
      <c r="AO33" s="502" t="str">
        <f>IFERROR(CHOOSE($AN33,"",Présentation!$D$20,Présentation!$D$21,Présentation!$D$22,Présentation!$D$23,Présentation!$D$24),"")</f>
        <v/>
      </c>
      <c r="AP33" s="516">
        <f t="shared" si="8"/>
        <v>0</v>
      </c>
      <c r="AQ33" s="512">
        <f t="shared" si="10"/>
        <v>0.14285714285714285</v>
      </c>
      <c r="AR33" s="502" t="str">
        <f t="shared" si="9"/>
        <v/>
      </c>
      <c r="AS33" s="502"/>
      <c r="AT33" s="502"/>
      <c r="AU33" s="502"/>
      <c r="AV33" s="502"/>
      <c r="AW33" s="501"/>
      <c r="AX33" s="502"/>
      <c r="AY33" s="501"/>
      <c r="AZ33" s="501"/>
      <c r="BC33" s="510" t="str">
        <f t="shared" si="1"/>
        <v xml:space="preserve"> </v>
      </c>
    </row>
    <row r="34" spans="1:83" ht="18" x14ac:dyDescent="0.25">
      <c r="A34" s="272"/>
      <c r="B34" s="647"/>
      <c r="C34" s="388">
        <f>IF(ISERROR(C33+1),C32+1,C33+1)</f>
        <v>17</v>
      </c>
      <c r="D34" s="274" t="s">
        <v>260</v>
      </c>
      <c r="E34" s="398"/>
      <c r="F34" s="398"/>
      <c r="G34" s="398"/>
      <c r="H34" s="398"/>
      <c r="I34" s="398"/>
      <c r="J34" s="398"/>
      <c r="K34" s="398"/>
      <c r="L34" s="398"/>
      <c r="M34" s="398"/>
      <c r="N34" s="398"/>
      <c r="O34" s="398"/>
      <c r="P34" s="398"/>
      <c r="Q34" s="398"/>
      <c r="R34" s="398"/>
      <c r="S34" s="398"/>
      <c r="T34" s="398"/>
      <c r="U34" s="1"/>
      <c r="V34" s="375" t="s">
        <v>103</v>
      </c>
      <c r="W34" s="659"/>
      <c r="X34" s="1" t="str">
        <f t="shared" si="5"/>
        <v xml:space="preserve"> </v>
      </c>
      <c r="Y34" s="1"/>
      <c r="Z34" s="389" t="str">
        <f t="shared" si="6"/>
        <v/>
      </c>
      <c r="AA34" s="274" t="str">
        <f>IF(Exigences!Y34=Présentation!$L$20,'Plan d''actions'!E25,IF(Exigences!Y34=Présentation!$L$21,'Plan d''actions'!E25,"Pas de plan d'actions à suggérer!"))</f>
        <v>Pas de plan d'actions à suggérer!</v>
      </c>
      <c r="AB34" s="277"/>
      <c r="AC34" s="277"/>
      <c r="AD34" s="277"/>
      <c r="AE34" s="404"/>
      <c r="AF34" s="401"/>
      <c r="AG34" s="401"/>
      <c r="AH34" s="3" t="s">
        <v>61</v>
      </c>
      <c r="AJ34" s="42"/>
      <c r="AL34" s="507">
        <f>IF(AM34="Sous-Article","",IF(AL33="",AL32+1,AL33+1))</f>
        <v>17</v>
      </c>
      <c r="AM34" s="504">
        <f t="shared" si="7"/>
        <v>0</v>
      </c>
      <c r="AN34" s="504" t="str">
        <f>IFERROR((VLOOKUP($Y34,Présentation!$L$20:$M$24,2,FALSE)),"")</f>
        <v/>
      </c>
      <c r="AO34" s="502" t="str">
        <f>IFERROR(CHOOSE($AN34,"",Présentation!$D$20,Présentation!$D$21,Présentation!$D$22,Présentation!$D$23,Présentation!$D$24),"")</f>
        <v/>
      </c>
      <c r="AP34" s="516">
        <f t="shared" si="8"/>
        <v>0</v>
      </c>
      <c r="AQ34" s="512">
        <f t="shared" si="10"/>
        <v>0.14285714285714285</v>
      </c>
      <c r="AR34" s="502" t="str">
        <f t="shared" si="9"/>
        <v/>
      </c>
      <c r="AS34" s="502"/>
      <c r="AT34" s="502"/>
      <c r="AU34" s="502"/>
      <c r="AV34" s="502"/>
      <c r="AW34" s="501"/>
      <c r="AX34" s="502"/>
      <c r="AY34" s="501"/>
      <c r="AZ34" s="501"/>
      <c r="BC34" s="510" t="str">
        <f t="shared" si="1"/>
        <v xml:space="preserve"> </v>
      </c>
    </row>
    <row r="35" spans="1:83" ht="57.75" customHeight="1" x14ac:dyDescent="0.25">
      <c r="A35" s="272"/>
      <c r="B35" s="647"/>
      <c r="C35" s="388">
        <f>IF(ISERROR(#REF!+1),C34+1,#REF!+1)</f>
        <v>18</v>
      </c>
      <c r="D35" s="381" t="s">
        <v>228</v>
      </c>
      <c r="E35" s="398"/>
      <c r="F35" s="398"/>
      <c r="G35" s="398"/>
      <c r="H35" s="398"/>
      <c r="I35" s="398"/>
      <c r="J35" s="398"/>
      <c r="K35" s="398"/>
      <c r="L35" s="398"/>
      <c r="M35" s="398"/>
      <c r="N35" s="398"/>
      <c r="O35" s="398"/>
      <c r="P35" s="398"/>
      <c r="Q35" s="398"/>
      <c r="R35" s="398"/>
      <c r="S35" s="398"/>
      <c r="T35" s="398"/>
      <c r="U35" s="1"/>
      <c r="V35" s="375" t="s">
        <v>103</v>
      </c>
      <c r="W35" s="385" t="s">
        <v>222</v>
      </c>
      <c r="X35" s="1" t="str">
        <f t="shared" si="5"/>
        <v xml:space="preserve"> </v>
      </c>
      <c r="Y35" s="1"/>
      <c r="Z35" s="389" t="str">
        <f t="shared" si="6"/>
        <v/>
      </c>
      <c r="AA35" s="274" t="str">
        <f>IF(Exigences!Y35=Présentation!$L$20,'Plan d''actions'!E26,IF(Exigences!Y35=Présentation!$L$21,'Plan d''actions'!E26,"Pas de plan d'actions à suggérer!"))</f>
        <v>Pas de plan d'actions à suggérer!</v>
      </c>
      <c r="AB35" s="277"/>
      <c r="AC35" s="277"/>
      <c r="AD35" s="277"/>
      <c r="AE35" s="404"/>
      <c r="AF35" s="401"/>
      <c r="AG35" s="401"/>
      <c r="AH35" s="3" t="s">
        <v>61</v>
      </c>
      <c r="AJ35" s="42"/>
      <c r="AL35" s="507">
        <f>IF(AM35="Sous-Article","",IF(AL34="",AL33+1,AL34+1))</f>
        <v>18</v>
      </c>
      <c r="AM35" s="504">
        <f t="shared" si="7"/>
        <v>0</v>
      </c>
      <c r="AN35" s="504" t="str">
        <f>IFERROR((VLOOKUP($Y35,Présentation!$L$20:$M$24,2,FALSE)),"")</f>
        <v/>
      </c>
      <c r="AO35" s="502" t="str">
        <f>IFERROR(CHOOSE($AN35,"",Présentation!$D$20,Présentation!$D$21,Présentation!$D$22,Présentation!$D$23,Présentation!$D$24),"")</f>
        <v/>
      </c>
      <c r="AP35" s="516">
        <f t="shared" si="8"/>
        <v>0</v>
      </c>
      <c r="AQ35" s="512">
        <f t="shared" si="10"/>
        <v>0.14285714285714285</v>
      </c>
      <c r="AR35" s="502" t="str">
        <f t="shared" si="9"/>
        <v/>
      </c>
      <c r="AS35" s="502"/>
      <c r="AT35" s="502"/>
      <c r="AU35" s="502"/>
      <c r="AV35" s="502"/>
      <c r="AW35" s="501"/>
      <c r="AX35" s="502"/>
      <c r="AY35" s="501"/>
      <c r="AZ35" s="501"/>
      <c r="BC35" s="510" t="str">
        <f t="shared" si="1"/>
        <v xml:space="preserve"> </v>
      </c>
    </row>
    <row r="36" spans="1:83" ht="32.25" customHeight="1" x14ac:dyDescent="0.25">
      <c r="B36" s="288" t="s">
        <v>257</v>
      </c>
      <c r="C36" s="388">
        <f>IF(ISERROR(#REF!+1),C35+1,#REF!+1)</f>
        <v>19</v>
      </c>
      <c r="D36" s="380" t="s">
        <v>223</v>
      </c>
      <c r="E36" s="399"/>
      <c r="F36" s="399"/>
      <c r="G36" s="399"/>
      <c r="H36" s="399"/>
      <c r="I36" s="399"/>
      <c r="J36" s="399"/>
      <c r="K36" s="399"/>
      <c r="L36" s="399"/>
      <c r="M36" s="399"/>
      <c r="N36" s="399"/>
      <c r="O36" s="399"/>
      <c r="P36" s="399"/>
      <c r="Q36" s="399"/>
      <c r="R36" s="399"/>
      <c r="S36" s="399"/>
      <c r="T36" s="399"/>
      <c r="U36" s="1"/>
      <c r="V36" s="375" t="s">
        <v>103</v>
      </c>
      <c r="W36" s="391" t="s">
        <v>224</v>
      </c>
      <c r="X36" s="1" t="str">
        <f t="shared" si="5"/>
        <v xml:space="preserve"> </v>
      </c>
      <c r="Y36" s="1"/>
      <c r="Z36" s="389" t="str">
        <f t="shared" si="6"/>
        <v/>
      </c>
      <c r="AA36" s="274" t="str">
        <f>IF(Exigences!Y36=Présentation!$L$20,'Plan d''actions'!E27,IF(Exigences!Y36=Présentation!$L$21,'Plan d''actions'!E27,"Pas de plan d'actions à suggérer!"))</f>
        <v>Pas de plan d'actions à suggérer!</v>
      </c>
      <c r="AB36" s="277"/>
      <c r="AC36" s="277"/>
      <c r="AD36" s="277"/>
      <c r="AE36" s="404"/>
      <c r="AF36" s="401"/>
      <c r="AG36" s="401"/>
      <c r="AH36" s="3" t="s">
        <v>61</v>
      </c>
      <c r="AJ36" s="42"/>
      <c r="AL36" s="507">
        <f>IF(AM36="Sous-Article","",IF(AL35="",AL34+1,AL35+1))</f>
        <v>19</v>
      </c>
      <c r="AM36" s="504">
        <f t="shared" si="7"/>
        <v>0</v>
      </c>
      <c r="AN36" s="504" t="str">
        <f>IFERROR((VLOOKUP($Y36,Présentation!$L$20:$M$24,2,FALSE)),"")</f>
        <v/>
      </c>
      <c r="AO36" s="502" t="str">
        <f>IFERROR(CHOOSE($AN36,"",Présentation!$D$20,Présentation!$D$21,Présentation!$D$22,Présentation!$D$23,Présentation!$D$24),"")</f>
        <v/>
      </c>
      <c r="AP36" s="516">
        <f t="shared" si="8"/>
        <v>0</v>
      </c>
      <c r="AQ36" s="512">
        <f t="shared" si="10"/>
        <v>0.14285714285714285</v>
      </c>
      <c r="AR36" s="502" t="str">
        <f t="shared" si="9"/>
        <v/>
      </c>
      <c r="AS36" s="502"/>
      <c r="AT36" s="502"/>
      <c r="AU36" s="502"/>
      <c r="AV36" s="502"/>
      <c r="AW36" s="501"/>
      <c r="AX36" s="502"/>
      <c r="AY36" s="501"/>
      <c r="AZ36" s="501"/>
      <c r="BC36" s="510" t="str">
        <f t="shared" si="1"/>
        <v xml:space="preserve"> </v>
      </c>
    </row>
    <row r="37" spans="1:83" ht="30" customHeight="1" x14ac:dyDescent="0.25">
      <c r="B37" s="289"/>
      <c r="C37" s="224" t="s">
        <v>130</v>
      </c>
      <c r="D37" s="231" t="s">
        <v>129</v>
      </c>
      <c r="E37" s="641"/>
      <c r="F37" s="641"/>
      <c r="G37" s="641"/>
      <c r="H37" s="641"/>
      <c r="I37" s="641"/>
      <c r="J37" s="641"/>
      <c r="K37" s="641"/>
      <c r="L37" s="641"/>
      <c r="M37" s="641"/>
      <c r="N37" s="641"/>
      <c r="O37" s="641"/>
      <c r="P37" s="641"/>
      <c r="Q37" s="641"/>
      <c r="R37" s="641"/>
      <c r="S37" s="641"/>
      <c r="T37" s="641"/>
      <c r="U37" s="172" t="s">
        <v>261</v>
      </c>
      <c r="V37" s="172" t="s">
        <v>104</v>
      </c>
      <c r="W37" s="172" t="s">
        <v>188</v>
      </c>
      <c r="X37" s="172" t="s">
        <v>262</v>
      </c>
      <c r="Y37" s="172" t="str">
        <f>AS37</f>
        <v>Niveau non applicable</v>
      </c>
      <c r="Z37" s="172" t="str">
        <f>IF($Y37="Niveau non applicable","NA",$AR37)</f>
        <v>NA</v>
      </c>
      <c r="AA37" s="172" t="s">
        <v>296</v>
      </c>
      <c r="AB37" s="276" t="s">
        <v>638</v>
      </c>
      <c r="AC37" s="276" t="s">
        <v>605</v>
      </c>
      <c r="AD37" s="276" t="s">
        <v>279</v>
      </c>
      <c r="AE37" s="405" t="s">
        <v>280</v>
      </c>
      <c r="AF37" s="402" t="s">
        <v>281</v>
      </c>
      <c r="AG37" s="276" t="s">
        <v>527</v>
      </c>
      <c r="AH37" s="253" t="s">
        <v>101</v>
      </c>
      <c r="AJ37" s="42"/>
      <c r="AL37" s="507"/>
      <c r="AM37" s="511" t="s">
        <v>24</v>
      </c>
      <c r="AN37" s="511"/>
      <c r="AO37" s="501" t="s">
        <v>28</v>
      </c>
      <c r="AP37" s="501"/>
      <c r="AQ37" s="512">
        <f>SUM(AQ38:AQ41)</f>
        <v>1</v>
      </c>
      <c r="AR37" s="502">
        <f>IFERROR(SUM(AR38:AR41),"")</f>
        <v>0</v>
      </c>
      <c r="AS37" s="505" t="str">
        <f>IFERROR(IF(AR37=Présentation!$F$24,Présentation!$H$24,IF(AR37&lt;=Présentation!$F$20,Présentation!$G$20,IF(AR37&lt;=Présentation!$F$21,Présentation!$G$21,IF(AR37&lt;=Présentation!$F$22,Présentation!$G$22,Présentation!$G$23)))),"")</f>
        <v>Niveau non applicable</v>
      </c>
      <c r="AT37" s="513">
        <f>IF(AS37="Niveau Non applicable",1,0)</f>
        <v>1</v>
      </c>
      <c r="AU37" s="502">
        <f>IF(AS37="Niveau Non applicable",0,1/COUNTIF($AT$29:$AT$46,"=0"))</f>
        <v>0</v>
      </c>
      <c r="AV37" s="502">
        <f>AU37*AR37</f>
        <v>0</v>
      </c>
      <c r="AW37" s="501"/>
      <c r="AX37" s="502"/>
      <c r="AY37" s="501"/>
      <c r="AZ37" s="501"/>
      <c r="BC37" s="510" t="str">
        <f t="shared" si="1"/>
        <v xml:space="preserve"> </v>
      </c>
    </row>
    <row r="38" spans="1:83" ht="17.25" customHeight="1" x14ac:dyDescent="0.25">
      <c r="B38" s="646" t="s">
        <v>258</v>
      </c>
      <c r="C38" s="388">
        <f>IF(ISERROR(C37+1),C36+1,C37+1)</f>
        <v>20</v>
      </c>
      <c r="D38" s="274" t="s">
        <v>215</v>
      </c>
      <c r="E38" s="642"/>
      <c r="F38" s="642"/>
      <c r="G38" s="642"/>
      <c r="H38" s="642"/>
      <c r="I38" s="642"/>
      <c r="J38" s="642"/>
      <c r="K38" s="642"/>
      <c r="L38" s="642"/>
      <c r="M38" s="642"/>
      <c r="N38" s="642"/>
      <c r="O38" s="642"/>
      <c r="P38" s="642"/>
      <c r="Q38" s="642"/>
      <c r="R38" s="642"/>
      <c r="S38" s="642"/>
      <c r="T38" s="642"/>
      <c r="U38" s="1"/>
      <c r="V38" s="375" t="s">
        <v>102</v>
      </c>
      <c r="W38" s="658" t="s">
        <v>216</v>
      </c>
      <c r="X38" s="1" t="str">
        <f>BC38</f>
        <v xml:space="preserve"> </v>
      </c>
      <c r="Y38" s="1"/>
      <c r="Z38" s="389" t="str">
        <f>IF($U38="Non","NA",$AO38)</f>
        <v/>
      </c>
      <c r="AA38" s="274" t="str">
        <f>IF(Exigences!Y38=Présentation!$L$20,'Plan d''actions'!E29,IF(Exigences!Y38=Présentation!$L$21,'Plan d''actions'!E29,"Pas de plan d'actions à suggérer!"))</f>
        <v>Pas de plan d'actions à suggérer!</v>
      </c>
      <c r="AB38" s="277"/>
      <c r="AC38" s="277"/>
      <c r="AD38" s="277"/>
      <c r="AE38" s="404"/>
      <c r="AF38" s="401"/>
      <c r="AG38" s="401"/>
      <c r="AH38" s="3" t="s">
        <v>61</v>
      </c>
      <c r="AJ38" s="42"/>
      <c r="AL38" s="507">
        <f>IF(AM38="Sous-Article","",IF(AL37="",AL36+1,AL37+1))</f>
        <v>20</v>
      </c>
      <c r="AM38" s="504">
        <f>Y38</f>
        <v>0</v>
      </c>
      <c r="AN38" s="504" t="str">
        <f>IFERROR((VLOOKUP($Y38,Présentation!$L$20:$M$24,2,FALSE)),"")</f>
        <v/>
      </c>
      <c r="AO38" s="502" t="str">
        <f>IFERROR(CHOOSE($AN38,"",Présentation!$D$20,Présentation!$D$21,Présentation!$D$22,Présentation!$D$23,Présentation!$D$24),"")</f>
        <v/>
      </c>
      <c r="AP38" s="516">
        <f>IF(AM38="Non applicable",1,0)</f>
        <v>0</v>
      </c>
      <c r="AQ38" s="512">
        <f>IF(AM38="Non applicable",0,1/COUNTIF($AP$38:$AP$41,"=0"))</f>
        <v>0.25</v>
      </c>
      <c r="AR38" s="502" t="str">
        <f>IFERROR(AO38*AQ38,"")</f>
        <v/>
      </c>
      <c r="AS38" s="502"/>
      <c r="AT38" s="502"/>
      <c r="AU38" s="502"/>
      <c r="AV38" s="502"/>
      <c r="AW38" s="501"/>
      <c r="AX38" s="502"/>
      <c r="AY38" s="501"/>
      <c r="AZ38" s="501"/>
      <c r="BC38" s="510" t="str">
        <f t="shared" si="1"/>
        <v xml:space="preserve"> </v>
      </c>
    </row>
    <row r="39" spans="1:83" ht="19.5" customHeight="1" x14ac:dyDescent="0.25">
      <c r="B39" s="647"/>
      <c r="C39" s="388">
        <f>IF(ISERROR(C38+1),C37+1,C38+1)</f>
        <v>21</v>
      </c>
      <c r="D39" s="274" t="s">
        <v>218</v>
      </c>
      <c r="E39" s="642"/>
      <c r="F39" s="642"/>
      <c r="G39" s="642"/>
      <c r="H39" s="642"/>
      <c r="I39" s="642"/>
      <c r="J39" s="642"/>
      <c r="K39" s="642"/>
      <c r="L39" s="642"/>
      <c r="M39" s="642"/>
      <c r="N39" s="642"/>
      <c r="O39" s="642"/>
      <c r="P39" s="642"/>
      <c r="Q39" s="642"/>
      <c r="R39" s="642"/>
      <c r="S39" s="642"/>
      <c r="T39" s="642"/>
      <c r="U39" s="1"/>
      <c r="V39" s="375" t="s">
        <v>102</v>
      </c>
      <c r="W39" s="659"/>
      <c r="X39" s="1" t="str">
        <f>BC39</f>
        <v xml:space="preserve"> </v>
      </c>
      <c r="Y39" s="1"/>
      <c r="Z39" s="389" t="str">
        <f>IF($U39="Non","NA",$AO39)</f>
        <v/>
      </c>
      <c r="AA39" s="274" t="str">
        <f>IF(Exigences!Y39=Présentation!$L$20,'Plan d''actions'!E30,IF(Exigences!Y39=Présentation!$L$21,'Plan d''actions'!E30,"Pas de plan d'actions à suggérer!"))</f>
        <v>Pas de plan d'actions à suggérer!</v>
      </c>
      <c r="AB39" s="277"/>
      <c r="AC39" s="277"/>
      <c r="AD39" s="277"/>
      <c r="AE39" s="404"/>
      <c r="AF39" s="401"/>
      <c r="AG39" s="401"/>
      <c r="AH39" s="3" t="s">
        <v>61</v>
      </c>
      <c r="AJ39" s="42"/>
      <c r="AL39" s="507">
        <f>IF(AM39="Sous-Article","",IF(AL38="",AL35+1,AL38+1))</f>
        <v>21</v>
      </c>
      <c r="AM39" s="504">
        <f>Y39</f>
        <v>0</v>
      </c>
      <c r="AN39" s="504" t="str">
        <f>IFERROR((VLOOKUP($Y39,Présentation!$L$20:$M$24,2,FALSE)),"")</f>
        <v/>
      </c>
      <c r="AO39" s="502" t="str">
        <f>IFERROR(CHOOSE($AN39,"",Présentation!$D$20,Présentation!$D$21,Présentation!$D$22,Présentation!$D$23,Présentation!$D$24),"")</f>
        <v/>
      </c>
      <c r="AP39" s="516">
        <f>IF(AM39="Non applicable",1,0)</f>
        <v>0</v>
      </c>
      <c r="AQ39" s="512">
        <f>IF(AM39="Non applicable",0,1/COUNTIF($AP$38:$AP$41,"=0"))</f>
        <v>0.25</v>
      </c>
      <c r="AR39" s="502" t="str">
        <f>IFERROR(AO39*AQ39,"")</f>
        <v/>
      </c>
      <c r="AS39" s="502"/>
      <c r="AT39" s="502"/>
      <c r="AU39" s="502"/>
      <c r="AV39" s="502"/>
      <c r="AW39" s="501"/>
      <c r="AX39" s="502"/>
      <c r="AY39" s="501"/>
      <c r="AZ39" s="501"/>
      <c r="BC39" s="510" t="str">
        <f t="shared" si="1"/>
        <v xml:space="preserve"> </v>
      </c>
    </row>
    <row r="40" spans="1:83" ht="22.5" customHeight="1" x14ac:dyDescent="0.25">
      <c r="B40" s="647"/>
      <c r="C40" s="388">
        <f>IF(ISERROR(C39+1),C38+1,C39+1)</f>
        <v>22</v>
      </c>
      <c r="D40" s="274" t="s">
        <v>247</v>
      </c>
      <c r="E40" s="642"/>
      <c r="F40" s="642"/>
      <c r="G40" s="642"/>
      <c r="H40" s="642"/>
      <c r="I40" s="642"/>
      <c r="J40" s="642"/>
      <c r="K40" s="642"/>
      <c r="L40" s="642"/>
      <c r="M40" s="642"/>
      <c r="N40" s="642"/>
      <c r="O40" s="642"/>
      <c r="P40" s="642"/>
      <c r="Q40" s="642"/>
      <c r="R40" s="642"/>
      <c r="S40" s="642"/>
      <c r="T40" s="642"/>
      <c r="U40" s="1"/>
      <c r="V40" s="375" t="s">
        <v>103</v>
      </c>
      <c r="W40" s="659"/>
      <c r="X40" s="1" t="str">
        <f>BC40</f>
        <v xml:space="preserve"> </v>
      </c>
      <c r="Y40" s="1"/>
      <c r="Z40" s="389" t="str">
        <f>IF($U40="Non","NA",$AO40)</f>
        <v/>
      </c>
      <c r="AA40" s="274" t="str">
        <f>IF(Exigences!Y40=Présentation!$L$20,'Plan d''actions'!E31,IF(Exigences!Y40=Présentation!$L$21,'Plan d''actions'!E31,"Pas de plan d'actions à suggérer!"))</f>
        <v>Pas de plan d'actions à suggérer!</v>
      </c>
      <c r="AB40" s="277"/>
      <c r="AC40" s="277"/>
      <c r="AD40" s="277"/>
      <c r="AE40" s="404"/>
      <c r="AF40" s="401"/>
      <c r="AG40" s="401"/>
      <c r="AH40" s="3" t="s">
        <v>61</v>
      </c>
      <c r="AJ40" s="42"/>
      <c r="AL40" s="507">
        <f>IF(AM40="Sous-Article","",IF(AL39="",#REF!+1,AL39+1))</f>
        <v>22</v>
      </c>
      <c r="AM40" s="504">
        <f>Y40</f>
        <v>0</v>
      </c>
      <c r="AN40" s="504" t="str">
        <f>IFERROR((VLOOKUP($Y40,Présentation!$L$20:$M$24,2,FALSE)),"")</f>
        <v/>
      </c>
      <c r="AO40" s="502" t="str">
        <f>IFERROR(CHOOSE($AN40,"",Présentation!$D$20,Présentation!$D$21,Présentation!$D$22,Présentation!$D$23,Présentation!$D$24),"")</f>
        <v/>
      </c>
      <c r="AP40" s="516">
        <f>IF(AM40="Non applicable",1,0)</f>
        <v>0</v>
      </c>
      <c r="AQ40" s="512">
        <f>IF(AM40="Non applicable",0,1/COUNTIF($AP$38:$AP$41,"=0"))</f>
        <v>0.25</v>
      </c>
      <c r="AR40" s="502" t="str">
        <f>IFERROR(AO40*AQ40,"")</f>
        <v/>
      </c>
      <c r="AS40" s="502"/>
      <c r="AT40" s="502"/>
      <c r="AU40" s="502"/>
      <c r="AV40" s="502"/>
      <c r="AW40" s="501"/>
      <c r="AX40" s="502"/>
      <c r="AY40" s="501"/>
      <c r="AZ40" s="501"/>
      <c r="BC40" s="510" t="str">
        <f t="shared" si="1"/>
        <v xml:space="preserve"> </v>
      </c>
    </row>
    <row r="41" spans="1:83" ht="25.5" customHeight="1" x14ac:dyDescent="0.25">
      <c r="B41" s="709"/>
      <c r="C41" s="388">
        <f>IF(ISERROR(C40+1),C39+1,C40+1)</f>
        <v>23</v>
      </c>
      <c r="D41" s="274" t="s">
        <v>229</v>
      </c>
      <c r="E41" s="643"/>
      <c r="F41" s="643"/>
      <c r="G41" s="643"/>
      <c r="H41" s="643"/>
      <c r="I41" s="643"/>
      <c r="J41" s="643"/>
      <c r="K41" s="643"/>
      <c r="L41" s="643"/>
      <c r="M41" s="643"/>
      <c r="N41" s="643"/>
      <c r="O41" s="643"/>
      <c r="P41" s="643"/>
      <c r="Q41" s="643"/>
      <c r="R41" s="643"/>
      <c r="S41" s="643"/>
      <c r="T41" s="643"/>
      <c r="U41" s="1"/>
      <c r="V41" s="375" t="s">
        <v>103</v>
      </c>
      <c r="W41" s="660"/>
      <c r="X41" s="1" t="str">
        <f>BC41</f>
        <v xml:space="preserve"> </v>
      </c>
      <c r="Y41" s="1"/>
      <c r="Z41" s="389" t="str">
        <f>IF($U41="Non","NA",$AO41)</f>
        <v/>
      </c>
      <c r="AA41" s="274" t="str">
        <f>IF(Exigences!Y41=Présentation!$L$20,'Plan d''actions'!E32,IF(Exigences!Y41=Présentation!$L$21,'Plan d''actions'!E32,"Pas de plan d'actions à suggérer!"))</f>
        <v>Pas de plan d'actions à suggérer!</v>
      </c>
      <c r="AB41" s="277"/>
      <c r="AC41" s="277"/>
      <c r="AD41" s="277"/>
      <c r="AE41" s="404"/>
      <c r="AF41" s="401"/>
      <c r="AG41" s="401"/>
      <c r="AH41" s="3" t="s">
        <v>61</v>
      </c>
      <c r="AJ41" s="42"/>
      <c r="AL41" s="507">
        <f>IF(AM41="Sous-Article","",IF(AL40="",AL36+1,AL40+1))</f>
        <v>23</v>
      </c>
      <c r="AM41" s="504">
        <f>Y41</f>
        <v>0</v>
      </c>
      <c r="AN41" s="504" t="str">
        <f>IFERROR((VLOOKUP($Y41,Présentation!$L$20:$M$24,2,FALSE)),"")</f>
        <v/>
      </c>
      <c r="AO41" s="502" t="str">
        <f>IFERROR(CHOOSE($AN41,"",Présentation!$D$20,Présentation!$D$21,Présentation!$D$22,Présentation!$D$23,Présentation!$D$24),"")</f>
        <v/>
      </c>
      <c r="AP41" s="516">
        <f>IF(AM41="Non applicable",1,0)</f>
        <v>0</v>
      </c>
      <c r="AQ41" s="512">
        <f>IF(AM41="Non applicable",0,1/COUNTIF($AP$38:$AP$41,"=0"))</f>
        <v>0.25</v>
      </c>
      <c r="AR41" s="502" t="str">
        <f>IFERROR(AO41*AQ41,"")</f>
        <v/>
      </c>
      <c r="AS41" s="502"/>
      <c r="AT41" s="502"/>
      <c r="AU41" s="502"/>
      <c r="AV41" s="502"/>
      <c r="AW41" s="501"/>
      <c r="AX41" s="502"/>
      <c r="AY41" s="501"/>
      <c r="AZ41" s="501"/>
      <c r="BC41" s="510" t="str">
        <f t="shared" si="1"/>
        <v xml:space="preserve"> </v>
      </c>
    </row>
    <row r="42" spans="1:83" ht="30" customHeight="1" x14ac:dyDescent="0.25">
      <c r="B42" s="224"/>
      <c r="C42" s="224" t="s">
        <v>131</v>
      </c>
      <c r="D42" s="231" t="s">
        <v>132</v>
      </c>
      <c r="E42" s="641"/>
      <c r="F42" s="641"/>
      <c r="G42" s="641"/>
      <c r="H42" s="641"/>
      <c r="I42" s="641"/>
      <c r="J42" s="641"/>
      <c r="K42" s="641"/>
      <c r="L42" s="641"/>
      <c r="M42" s="641"/>
      <c r="N42" s="641"/>
      <c r="O42" s="641"/>
      <c r="P42" s="641"/>
      <c r="Q42" s="641"/>
      <c r="R42" s="641"/>
      <c r="S42" s="641"/>
      <c r="T42" s="641"/>
      <c r="U42" s="172" t="s">
        <v>261</v>
      </c>
      <c r="V42" s="172" t="s">
        <v>104</v>
      </c>
      <c r="W42" s="172" t="s">
        <v>188</v>
      </c>
      <c r="X42" s="172" t="s">
        <v>262</v>
      </c>
      <c r="Y42" s="172" t="str">
        <f>AS42</f>
        <v>Niveau non applicable</v>
      </c>
      <c r="Z42" s="172" t="str">
        <f>IF($Y42="Niveau non applicable","NA",$AR42)</f>
        <v>NA</v>
      </c>
      <c r="AA42" s="172" t="s">
        <v>296</v>
      </c>
      <c r="AB42" s="276" t="s">
        <v>638</v>
      </c>
      <c r="AC42" s="276" t="s">
        <v>605</v>
      </c>
      <c r="AD42" s="276" t="s">
        <v>279</v>
      </c>
      <c r="AE42" s="405" t="s">
        <v>280</v>
      </c>
      <c r="AF42" s="402" t="s">
        <v>281</v>
      </c>
      <c r="AG42" s="276" t="s">
        <v>527</v>
      </c>
      <c r="AH42" s="253" t="s">
        <v>101</v>
      </c>
      <c r="AJ42" s="42"/>
      <c r="AL42" s="507"/>
      <c r="AM42" s="511" t="s">
        <v>24</v>
      </c>
      <c r="AN42" s="511"/>
      <c r="AO42" s="501" t="s">
        <v>28</v>
      </c>
      <c r="AP42" s="501"/>
      <c r="AQ42" s="512">
        <f>SUM(AQ43:AQ46)</f>
        <v>1</v>
      </c>
      <c r="AR42" s="502">
        <f>IFERROR(SUM(AR43:AR46),"")</f>
        <v>0</v>
      </c>
      <c r="AS42" s="505" t="str">
        <f>IFERROR(IF(AR42=Présentation!$F$24,Présentation!$H$24,IF(AR42&lt;=Présentation!$F$20,Présentation!$G$20,IF(AR42&lt;=Présentation!$F$21,Présentation!$G$21,IF(AR42&lt;=Présentation!$F$22,Présentation!$G$22,Présentation!$G$23)))),"")</f>
        <v>Niveau non applicable</v>
      </c>
      <c r="AT42" s="513">
        <f>IF(AS42="Niveau Non applicable",1,0)</f>
        <v>1</v>
      </c>
      <c r="AU42" s="502">
        <f>IF(AS42="Niveau Non applicable",0,1/COUNTIF($AT$29:$AT$46,"=0"))</f>
        <v>0</v>
      </c>
      <c r="AV42" s="502">
        <f>AU42*AR42</f>
        <v>0</v>
      </c>
      <c r="AW42" s="501"/>
      <c r="AX42" s="502"/>
      <c r="AY42" s="501"/>
      <c r="AZ42" s="501"/>
      <c r="BC42" s="510" t="str">
        <f t="shared" si="1"/>
        <v xml:space="preserve"> </v>
      </c>
    </row>
    <row r="43" spans="1:83" ht="27.75" customHeight="1" x14ac:dyDescent="0.25">
      <c r="B43" s="646" t="s">
        <v>258</v>
      </c>
      <c r="C43" s="388">
        <f>IF(ISERROR(C42+1),C41+1,C42+1)</f>
        <v>24</v>
      </c>
      <c r="D43" s="274" t="s">
        <v>397</v>
      </c>
      <c r="E43" s="642"/>
      <c r="F43" s="642"/>
      <c r="G43" s="642"/>
      <c r="H43" s="642"/>
      <c r="I43" s="642"/>
      <c r="J43" s="642"/>
      <c r="K43" s="642"/>
      <c r="L43" s="642"/>
      <c r="M43" s="642"/>
      <c r="N43" s="642"/>
      <c r="O43" s="642"/>
      <c r="P43" s="642"/>
      <c r="Q43" s="642"/>
      <c r="R43" s="642"/>
      <c r="S43" s="642"/>
      <c r="T43" s="642"/>
      <c r="U43" s="1"/>
      <c r="V43" s="375" t="s">
        <v>103</v>
      </c>
      <c r="W43" s="638" t="s">
        <v>221</v>
      </c>
      <c r="X43" s="1" t="str">
        <f>BC43</f>
        <v xml:space="preserve"> </v>
      </c>
      <c r="Y43" s="1"/>
      <c r="Z43" s="389" t="str">
        <f>IF($D43="Non","NA",$AO43)</f>
        <v/>
      </c>
      <c r="AA43" s="274" t="str">
        <f>IF(Exigences!Y43=Présentation!$L$20,'Plan d''actions'!E34,IF(Exigences!Y43=Présentation!$L$21,'Plan d''actions'!E34,"Pas de plan d'actions à suggérer!"))</f>
        <v>Pas de plan d'actions à suggérer!</v>
      </c>
      <c r="AB43" s="277"/>
      <c r="AC43" s="277"/>
      <c r="AD43" s="277"/>
      <c r="AE43" s="404"/>
      <c r="AF43" s="401"/>
      <c r="AG43" s="401"/>
      <c r="AH43" s="3" t="s">
        <v>61</v>
      </c>
      <c r="AJ43" s="42"/>
      <c r="AL43" s="507">
        <f>IF(AM43="Sous-Article","",IF(AL42="",AL41+1,AL42+1))</f>
        <v>24</v>
      </c>
      <c r="AM43" s="504">
        <f>Y43</f>
        <v>0</v>
      </c>
      <c r="AN43" s="504" t="str">
        <f>IFERROR((VLOOKUP($Y43,Présentation!$L$20:$M$24,2,FALSE)),"")</f>
        <v/>
      </c>
      <c r="AO43" s="502" t="str">
        <f>IFERROR(CHOOSE($AN43,"",Présentation!$D$20,Présentation!$D$21,Présentation!$D$22,Présentation!$D$23,Présentation!$D$24),"")</f>
        <v/>
      </c>
      <c r="AP43" s="516">
        <f>IF(AM43="Non applicable",1,0)</f>
        <v>0</v>
      </c>
      <c r="AQ43" s="512">
        <f>IF(AM43="Non applicable",0,1/COUNTIF($AP$43:$AP$46,"=0"))</f>
        <v>0.25</v>
      </c>
      <c r="AR43" s="502" t="str">
        <f>IFERROR(AO43*AQ43,"")</f>
        <v/>
      </c>
      <c r="AS43" s="502"/>
      <c r="AT43" s="502"/>
      <c r="AU43" s="502"/>
      <c r="AV43" s="502"/>
      <c r="AW43" s="501"/>
      <c r="AX43" s="502"/>
      <c r="AY43" s="501"/>
      <c r="AZ43" s="501"/>
      <c r="BC43" s="510" t="str">
        <f t="shared" si="1"/>
        <v xml:space="preserve"> </v>
      </c>
    </row>
    <row r="44" spans="1:83" ht="27.75" customHeight="1" x14ac:dyDescent="0.25">
      <c r="B44" s="647"/>
      <c r="C44" s="388">
        <f>IF(ISERROR(C43+1),C42+1,C43+1)</f>
        <v>25</v>
      </c>
      <c r="D44" s="274" t="s">
        <v>230</v>
      </c>
      <c r="E44" s="642"/>
      <c r="F44" s="642"/>
      <c r="G44" s="642"/>
      <c r="H44" s="642"/>
      <c r="I44" s="642"/>
      <c r="J44" s="642"/>
      <c r="K44" s="642"/>
      <c r="L44" s="642"/>
      <c r="M44" s="642"/>
      <c r="N44" s="642"/>
      <c r="O44" s="642"/>
      <c r="P44" s="642"/>
      <c r="Q44" s="642"/>
      <c r="R44" s="642"/>
      <c r="S44" s="642"/>
      <c r="T44" s="642"/>
      <c r="U44" s="1"/>
      <c r="V44" s="375" t="s">
        <v>103</v>
      </c>
      <c r="W44" s="639"/>
      <c r="X44" s="1" t="str">
        <f>BC44</f>
        <v xml:space="preserve"> </v>
      </c>
      <c r="Y44" s="1"/>
      <c r="Z44" s="389" t="str">
        <f>IF($D44="Non","NA",$AO44)</f>
        <v/>
      </c>
      <c r="AA44" s="274" t="str">
        <f>IF(Exigences!Y44=Présentation!$L$20,'Plan d''actions'!E35,IF(Exigences!Y44=Présentation!$L$21,'Plan d''actions'!E35,"Pas de plan d'actions à suggérer!"))</f>
        <v>Pas de plan d'actions à suggérer!</v>
      </c>
      <c r="AB44" s="277"/>
      <c r="AC44" s="277"/>
      <c r="AD44" s="277"/>
      <c r="AE44" s="404"/>
      <c r="AF44" s="401"/>
      <c r="AG44" s="401"/>
      <c r="AH44" s="3" t="s">
        <v>61</v>
      </c>
      <c r="AJ44" s="42"/>
      <c r="AL44" s="507">
        <f>IF(AM44="Sous-Article","",IF(AL43="",AL42+1,AL43+1))</f>
        <v>25</v>
      </c>
      <c r="AM44" s="504">
        <f>Y44</f>
        <v>0</v>
      </c>
      <c r="AN44" s="504" t="str">
        <f>IFERROR((VLOOKUP($Y44,Présentation!$L$20:$M$24,2,FALSE)),"")</f>
        <v/>
      </c>
      <c r="AO44" s="502" t="str">
        <f>IFERROR(CHOOSE($AN44,"",Présentation!$D$20,Présentation!$D$21,Présentation!$D$22,Présentation!$D$23,Présentation!$D$24),"")</f>
        <v/>
      </c>
      <c r="AP44" s="516">
        <f>IF(AM44="Non applicable",1,0)</f>
        <v>0</v>
      </c>
      <c r="AQ44" s="512">
        <f>IF(AM44="Non applicable",0,1/COUNTIF($AP$43:$AP$46,"=0"))</f>
        <v>0.25</v>
      </c>
      <c r="AR44" s="502" t="str">
        <f>IFERROR(AO44*AQ44,"")</f>
        <v/>
      </c>
      <c r="AS44" s="502"/>
      <c r="AT44" s="502"/>
      <c r="AU44" s="502"/>
      <c r="AV44" s="502"/>
      <c r="AW44" s="501"/>
      <c r="AX44" s="502"/>
      <c r="AY44" s="501"/>
      <c r="AZ44" s="501"/>
      <c r="BC44" s="510" t="str">
        <f t="shared" si="1"/>
        <v xml:space="preserve"> </v>
      </c>
    </row>
    <row r="45" spans="1:83" ht="22.5" customHeight="1" x14ac:dyDescent="0.25">
      <c r="B45" s="647"/>
      <c r="C45" s="388">
        <f>IF(ISERROR(C44+1),C43+1,C44+1)</f>
        <v>26</v>
      </c>
      <c r="D45" s="274" t="s">
        <v>298</v>
      </c>
      <c r="E45" s="642"/>
      <c r="F45" s="642"/>
      <c r="G45" s="642"/>
      <c r="H45" s="642"/>
      <c r="I45" s="642"/>
      <c r="J45" s="642"/>
      <c r="K45" s="642"/>
      <c r="L45" s="642"/>
      <c r="M45" s="642"/>
      <c r="N45" s="642"/>
      <c r="O45" s="642"/>
      <c r="P45" s="642"/>
      <c r="Q45" s="642"/>
      <c r="R45" s="642"/>
      <c r="S45" s="642"/>
      <c r="T45" s="642"/>
      <c r="U45" s="1"/>
      <c r="V45" s="375" t="s">
        <v>103</v>
      </c>
      <c r="W45" s="639"/>
      <c r="X45" s="1" t="str">
        <f>BC45</f>
        <v xml:space="preserve"> </v>
      </c>
      <c r="Y45" s="1"/>
      <c r="Z45" s="389" t="str">
        <f>IF($D45="Non","NA",$AO45)</f>
        <v/>
      </c>
      <c r="AA45" s="274" t="str">
        <f>IF(Exigences!Y45=Présentation!$L$20,'Plan d''actions'!E36,IF(Exigences!Y45=Présentation!$L$21,'Plan d''actions'!E36,"Pas de plan d'actions à suggérer!"))</f>
        <v>Pas de plan d'actions à suggérer!</v>
      </c>
      <c r="AB45" s="277"/>
      <c r="AC45" s="277"/>
      <c r="AD45" s="277"/>
      <c r="AE45" s="404"/>
      <c r="AF45" s="401"/>
      <c r="AG45" s="401"/>
      <c r="AH45" s="3" t="s">
        <v>61</v>
      </c>
      <c r="AJ45" s="42"/>
      <c r="AL45" s="507">
        <f>IF(AM45="Sous-Article","",IF(AL44="",AL43+1,AL44+1))</f>
        <v>26</v>
      </c>
      <c r="AM45" s="504">
        <f>Y45</f>
        <v>0</v>
      </c>
      <c r="AN45" s="504" t="str">
        <f>IFERROR((VLOOKUP($Y45,Présentation!$L$20:$M$24,2,FALSE)),"")</f>
        <v/>
      </c>
      <c r="AO45" s="502" t="str">
        <f>IFERROR(CHOOSE($AN45,"",Présentation!$D$20,Présentation!$D$21,Présentation!$D$22,Présentation!$D$23,Présentation!$D$24),"")</f>
        <v/>
      </c>
      <c r="AP45" s="516">
        <f>IF(AM45="Non applicable",1,0)</f>
        <v>0</v>
      </c>
      <c r="AQ45" s="512">
        <f>IF(AM45="Non applicable",0,1/COUNTIF($AP$43:$AP$46,"=0"))</f>
        <v>0.25</v>
      </c>
      <c r="AR45" s="502" t="str">
        <f>IFERROR(AO45*AQ45,"")</f>
        <v/>
      </c>
      <c r="AS45" s="502"/>
      <c r="AT45" s="502"/>
      <c r="AU45" s="502"/>
      <c r="AV45" s="502"/>
      <c r="AW45" s="501"/>
      <c r="AX45" s="502"/>
      <c r="AY45" s="501"/>
      <c r="AZ45" s="501"/>
      <c r="BC45" s="510" t="str">
        <f t="shared" ref="BC45:BC76" si="11">IF(U45="non","NA"," ")</f>
        <v xml:space="preserve"> </v>
      </c>
    </row>
    <row r="46" spans="1:83" ht="22.5" x14ac:dyDescent="0.25">
      <c r="B46" s="271" t="s">
        <v>257</v>
      </c>
      <c r="C46" s="388">
        <f>IF(ISERROR(C45+1),C44+1,C45+1)</f>
        <v>27</v>
      </c>
      <c r="D46" s="382" t="s">
        <v>409</v>
      </c>
      <c r="E46" s="643"/>
      <c r="F46" s="643"/>
      <c r="G46" s="643"/>
      <c r="H46" s="643"/>
      <c r="I46" s="643"/>
      <c r="J46" s="643"/>
      <c r="K46" s="643"/>
      <c r="L46" s="643"/>
      <c r="M46" s="643"/>
      <c r="N46" s="643"/>
      <c r="O46" s="643"/>
      <c r="P46" s="643"/>
      <c r="Q46" s="643"/>
      <c r="R46" s="643"/>
      <c r="S46" s="643"/>
      <c r="T46" s="643"/>
      <c r="U46" s="1"/>
      <c r="V46" s="375" t="s">
        <v>103</v>
      </c>
      <c r="W46" s="268" t="s">
        <v>231</v>
      </c>
      <c r="X46" s="1" t="str">
        <f>BC46</f>
        <v xml:space="preserve"> </v>
      </c>
      <c r="Y46" s="1"/>
      <c r="Z46" s="389" t="str">
        <f>IF($D46="Non","NA",$AO46)</f>
        <v/>
      </c>
      <c r="AA46" s="274" t="str">
        <f>IF(Exigences!Y46=Présentation!$L$20,'Plan d''actions'!E37,IF(Exigences!Y46=Présentation!$L$21,'Plan d''actions'!E37,"Pas de plan d'actions à suggérer!"))</f>
        <v>Pas de plan d'actions à suggérer!</v>
      </c>
      <c r="AB46" s="277"/>
      <c r="AC46" s="277"/>
      <c r="AD46" s="277"/>
      <c r="AE46" s="404"/>
      <c r="AF46" s="401"/>
      <c r="AG46" s="401"/>
      <c r="AH46" s="3" t="s">
        <v>61</v>
      </c>
      <c r="AJ46" s="42"/>
      <c r="AL46" s="507">
        <f>IF(AM46="Sous-Article","",IF(AL45="",AL44+1,AL45+1))</f>
        <v>27</v>
      </c>
      <c r="AM46" s="504">
        <f>Y46</f>
        <v>0</v>
      </c>
      <c r="AN46" s="504" t="str">
        <f>IFERROR((VLOOKUP($Y46,Présentation!$L$20:$M$24,2,FALSE)),"")</f>
        <v/>
      </c>
      <c r="AO46" s="502" t="str">
        <f>IFERROR(CHOOSE($AN46,"",Présentation!$D$20,Présentation!$D$21,Présentation!$D$22,Présentation!$D$23,Présentation!$D$24),"")</f>
        <v/>
      </c>
      <c r="AP46" s="516">
        <f>IF(AM46="Non applicable",1,0)</f>
        <v>0</v>
      </c>
      <c r="AQ46" s="512">
        <f>IF(AM46="Non applicable",0,1/COUNTIF($AP$43:$AP$46,"=0"))</f>
        <v>0.25</v>
      </c>
      <c r="AR46" s="502" t="str">
        <f>IFERROR(AO46*AQ46,"")</f>
        <v/>
      </c>
      <c r="AS46" s="502"/>
      <c r="AT46" s="502"/>
      <c r="AU46" s="502"/>
      <c r="AV46" s="502"/>
      <c r="AW46" s="501"/>
      <c r="AX46" s="502"/>
      <c r="AY46" s="501"/>
      <c r="AZ46" s="501"/>
      <c r="BC46" s="510" t="str">
        <f t="shared" si="11"/>
        <v xml:space="preserve"> </v>
      </c>
    </row>
    <row r="47" spans="1:83" s="438" customFormat="1" ht="30" customHeight="1" x14ac:dyDescent="0.25">
      <c r="B47" s="270"/>
      <c r="C47" s="440">
        <v>6</v>
      </c>
      <c r="D47" s="430" t="s">
        <v>133</v>
      </c>
      <c r="E47" s="430"/>
      <c r="F47" s="430"/>
      <c r="G47" s="430"/>
      <c r="H47" s="430"/>
      <c r="I47" s="430"/>
      <c r="J47" s="430"/>
      <c r="K47" s="430"/>
      <c r="L47" s="430"/>
      <c r="M47" s="430"/>
      <c r="N47" s="430"/>
      <c r="O47" s="430"/>
      <c r="P47" s="430"/>
      <c r="Q47" s="430"/>
      <c r="R47" s="430"/>
      <c r="S47" s="430"/>
      <c r="T47" s="653"/>
      <c r="U47" s="654" t="s">
        <v>261</v>
      </c>
      <c r="V47" s="654" t="s">
        <v>100</v>
      </c>
      <c r="W47" s="171"/>
      <c r="X47" s="171"/>
      <c r="Y47" s="171" t="str">
        <f>AW47</f>
        <v>Niveau non applicable</v>
      </c>
      <c r="Z47" s="254" t="str">
        <f>IF($Y47="Niveau non applicable","NA",AV47)</f>
        <v>NA</v>
      </c>
      <c r="AA47" s="171" t="s">
        <v>296</v>
      </c>
      <c r="AB47" s="254" t="s">
        <v>638</v>
      </c>
      <c r="AC47" s="254" t="s">
        <v>605</v>
      </c>
      <c r="AD47" s="254" t="s">
        <v>279</v>
      </c>
      <c r="AE47" s="254" t="s">
        <v>280</v>
      </c>
      <c r="AF47" s="254" t="s">
        <v>281</v>
      </c>
      <c r="AG47" s="270" t="s">
        <v>527</v>
      </c>
      <c r="AH47" s="430" t="s">
        <v>101</v>
      </c>
      <c r="AJ47" s="42"/>
      <c r="AK47" s="182"/>
      <c r="AL47" s="507" t="str">
        <f>IF(AM47="Article","",IF(#REF!="",#REF!+1,#REF!+1))</f>
        <v/>
      </c>
      <c r="AM47" s="504" t="s">
        <v>23</v>
      </c>
      <c r="AN47" s="504"/>
      <c r="AO47" s="501"/>
      <c r="AP47" s="501"/>
      <c r="AQ47" s="512"/>
      <c r="AR47" s="502"/>
      <c r="AS47" s="502" t="s">
        <v>28</v>
      </c>
      <c r="AT47" s="502"/>
      <c r="AU47" s="507">
        <f>SUM(AU48:AU59)</f>
        <v>0</v>
      </c>
      <c r="AV47" s="507">
        <f>SUM(AV48:AV59)</f>
        <v>0</v>
      </c>
      <c r="AW47" s="505" t="str">
        <f>IFERROR(IF(AV47=Présentation!$D$24,Présentation!$H$24,IF(AV47&lt;=Présentation!$F$20,Présentation!$G$20,IF(AV47&lt;=Présentation!$F$21,Présentation!$G$21,IF(AV47&lt;=Présentation!$F$22,Présentation!$G$22,Présentation!$G$23)))),"")</f>
        <v>Niveau non applicable</v>
      </c>
      <c r="AX47" s="502">
        <f>1/7</f>
        <v>0.14285714285714285</v>
      </c>
      <c r="AY47" s="502">
        <f>AV47*AX47</f>
        <v>0</v>
      </c>
      <c r="AZ47" s="508"/>
      <c r="BA47" s="496"/>
      <c r="BB47" s="496"/>
      <c r="BC47" s="510" t="str">
        <f t="shared" si="11"/>
        <v xml:space="preserve"> </v>
      </c>
      <c r="BD47" s="496"/>
      <c r="BE47" s="496"/>
      <c r="BF47" s="496"/>
      <c r="BG47" s="496"/>
      <c r="BH47" s="496"/>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row>
    <row r="48" spans="1:83" ht="30" customHeight="1" x14ac:dyDescent="0.25">
      <c r="B48" s="224"/>
      <c r="C48" s="224" t="s">
        <v>134</v>
      </c>
      <c r="D48" s="231" t="s">
        <v>149</v>
      </c>
      <c r="E48" s="641"/>
      <c r="F48" s="641"/>
      <c r="G48" s="641"/>
      <c r="H48" s="641"/>
      <c r="I48" s="641"/>
      <c r="J48" s="641"/>
      <c r="K48" s="641"/>
      <c r="L48" s="641"/>
      <c r="M48" s="641"/>
      <c r="N48" s="641"/>
      <c r="O48" s="641"/>
      <c r="P48" s="641"/>
      <c r="Q48" s="641"/>
      <c r="R48" s="641"/>
      <c r="S48" s="641"/>
      <c r="T48" s="641"/>
      <c r="U48" s="172" t="s">
        <v>261</v>
      </c>
      <c r="V48" s="172" t="s">
        <v>104</v>
      </c>
      <c r="W48" s="172" t="s">
        <v>188</v>
      </c>
      <c r="X48" s="172" t="s">
        <v>262</v>
      </c>
      <c r="Y48" s="172" t="str">
        <f>AS48</f>
        <v>Niveau non applicable</v>
      </c>
      <c r="Z48" s="172" t="str">
        <f>IF($Y48="Niveau non applicable","NA",$AR48)</f>
        <v>NA</v>
      </c>
      <c r="AA48" s="172" t="s">
        <v>296</v>
      </c>
      <c r="AB48" s="276" t="s">
        <v>638</v>
      </c>
      <c r="AC48" s="276" t="s">
        <v>605</v>
      </c>
      <c r="AD48" s="276" t="s">
        <v>279</v>
      </c>
      <c r="AE48" s="405" t="s">
        <v>280</v>
      </c>
      <c r="AF48" s="402" t="s">
        <v>281</v>
      </c>
      <c r="AG48" s="276" t="s">
        <v>527</v>
      </c>
      <c r="AH48" s="253" t="s">
        <v>101</v>
      </c>
      <c r="AJ48" s="42"/>
      <c r="AL48" s="507" t="str">
        <f>IF(AM48="Sous-Article","",IF(AL47="",#REF!+1,AL47+1))</f>
        <v/>
      </c>
      <c r="AM48" s="511" t="s">
        <v>24</v>
      </c>
      <c r="AN48" s="511"/>
      <c r="AO48" s="501" t="s">
        <v>28</v>
      </c>
      <c r="AP48" s="501"/>
      <c r="AQ48" s="512">
        <f>SUM(AQ49:AQ51)</f>
        <v>1</v>
      </c>
      <c r="AR48" s="502">
        <f>IFERROR(SUM(AR49:AR51),"")</f>
        <v>0</v>
      </c>
      <c r="AS48" s="505" t="str">
        <f>IFERROR(IF(AR48=Présentation!$F$24,Présentation!$H$24,IF(AR48&lt;=Présentation!$F$20,Présentation!$G$20,IF(AR48&lt;=Présentation!$F$21,Présentation!$G$21,IF(AR48&lt;=Présentation!$F$22,Présentation!$G$22,Présentation!$G$23)))),"")</f>
        <v>Niveau non applicable</v>
      </c>
      <c r="AT48" s="513">
        <f>IF(AS48="Niveau Non applicable",1,0)</f>
        <v>1</v>
      </c>
      <c r="AU48" s="502">
        <f>IF(AS48="Niveau Non applicable",0,1/COUNTIF($AT$48:$AT$59,"=0"))</f>
        <v>0</v>
      </c>
      <c r="AV48" s="502">
        <f>AU48*AR48</f>
        <v>0</v>
      </c>
      <c r="AW48" s="508"/>
      <c r="AX48" s="514"/>
      <c r="AY48" s="508"/>
      <c r="AZ48" s="508"/>
      <c r="BC48" s="510" t="str">
        <f t="shared" si="11"/>
        <v xml:space="preserve"> </v>
      </c>
    </row>
    <row r="49" spans="2:83" ht="62.25" customHeight="1" x14ac:dyDescent="0.25">
      <c r="B49" s="646" t="s">
        <v>258</v>
      </c>
      <c r="C49" s="388">
        <f>IF(ISERROR(C48+1),C46+1,C48+1)</f>
        <v>28</v>
      </c>
      <c r="D49" s="274" t="s">
        <v>398</v>
      </c>
      <c r="E49" s="642"/>
      <c r="F49" s="642"/>
      <c r="G49" s="642"/>
      <c r="H49" s="642"/>
      <c r="I49" s="642"/>
      <c r="J49" s="642"/>
      <c r="K49" s="642"/>
      <c r="L49" s="642"/>
      <c r="M49" s="642"/>
      <c r="N49" s="642"/>
      <c r="O49" s="642"/>
      <c r="P49" s="642"/>
      <c r="Q49" s="642"/>
      <c r="R49" s="642"/>
      <c r="S49" s="642"/>
      <c r="T49" s="642"/>
      <c r="U49" s="1"/>
      <c r="V49" s="375" t="s">
        <v>103</v>
      </c>
      <c r="W49" s="278" t="s">
        <v>283</v>
      </c>
      <c r="X49" s="1" t="str">
        <f>BC49</f>
        <v xml:space="preserve"> </v>
      </c>
      <c r="Y49" s="1"/>
      <c r="Z49" s="389" t="str">
        <f>IF($U49="Non","NA",$AO49)</f>
        <v/>
      </c>
      <c r="AA49" s="274" t="str">
        <f>IF(Exigences!Y49=Présentation!$L$20,'Plan d''actions'!E40,IF(Exigences!Y49=Présentation!$L$21,'Plan d''actions'!E40,"Pas de plan d'actions à suggérer!"))</f>
        <v>Pas de plan d'actions à suggérer!</v>
      </c>
      <c r="AB49" s="277"/>
      <c r="AC49" s="277"/>
      <c r="AD49" s="277"/>
      <c r="AE49" s="404"/>
      <c r="AF49" s="401"/>
      <c r="AG49" s="401"/>
      <c r="AH49" s="3" t="s">
        <v>61</v>
      </c>
      <c r="AJ49" s="42"/>
      <c r="AL49" s="507">
        <f>IF(AM49="Sous-Article","",IF(AL48="",AL46+1,AL48+1))</f>
        <v>28</v>
      </c>
      <c r="AM49" s="504">
        <f>Y49</f>
        <v>0</v>
      </c>
      <c r="AN49" s="504" t="str">
        <f>IFERROR((VLOOKUP($Y49,Présentation!$L$20:$M$24,2,FALSE)),"")</f>
        <v/>
      </c>
      <c r="AO49" s="502" t="str">
        <f>IFERROR(CHOOSE($AN49,"",Présentation!$D$20,Présentation!$D$21,Présentation!$D$22,Présentation!$D$23,Présentation!$D$24),"")</f>
        <v/>
      </c>
      <c r="AP49" s="516">
        <f>IF(AM49="Non applicable",1,0)</f>
        <v>0</v>
      </c>
      <c r="AQ49" s="512">
        <f>IF(AM49="Non applicable",0,1/COUNTIF($AP$49:$AP$51,"=0"))</f>
        <v>0.33333333333333331</v>
      </c>
      <c r="AR49" s="502" t="str">
        <f>IFERROR(AO49*AQ49,"")</f>
        <v/>
      </c>
      <c r="AS49" s="502"/>
      <c r="AT49" s="502"/>
      <c r="AU49" s="502"/>
      <c r="AV49" s="502"/>
      <c r="AW49" s="501"/>
      <c r="AX49" s="502"/>
      <c r="AY49" s="501"/>
      <c r="AZ49" s="501"/>
      <c r="BC49" s="510" t="str">
        <f t="shared" si="11"/>
        <v xml:space="preserve"> </v>
      </c>
    </row>
    <row r="50" spans="2:83" ht="63" customHeight="1" x14ac:dyDescent="0.25">
      <c r="B50" s="647"/>
      <c r="C50" s="388">
        <f>IF(ISERROR(C49+1),C48+1,C49+1)</f>
        <v>29</v>
      </c>
      <c r="D50" s="274" t="s">
        <v>432</v>
      </c>
      <c r="E50" s="642"/>
      <c r="F50" s="642"/>
      <c r="G50" s="642"/>
      <c r="H50" s="642"/>
      <c r="I50" s="642"/>
      <c r="J50" s="642"/>
      <c r="K50" s="642"/>
      <c r="L50" s="642"/>
      <c r="M50" s="642"/>
      <c r="N50" s="642"/>
      <c r="O50" s="642"/>
      <c r="P50" s="642"/>
      <c r="Q50" s="642"/>
      <c r="R50" s="642"/>
      <c r="S50" s="642"/>
      <c r="T50" s="642"/>
      <c r="U50" s="1"/>
      <c r="V50" s="375" t="s">
        <v>103</v>
      </c>
      <c r="W50" s="638" t="s">
        <v>284</v>
      </c>
      <c r="X50" s="1" t="str">
        <f t="shared" ref="X50:X59" si="12">BC50</f>
        <v xml:space="preserve"> </v>
      </c>
      <c r="Y50" s="1"/>
      <c r="Z50" s="389" t="str">
        <f>IF($U50="Non","NA",$AO50)</f>
        <v/>
      </c>
      <c r="AA50" s="274" t="str">
        <f>IF(Exigences!Y50=Présentation!$L$20,'Plan d''actions'!E41,IF(Exigences!Y50=Présentation!$L$21,'Plan d''actions'!E41,"Pas de plan d'actions à suggérer!"))</f>
        <v>Pas de plan d'actions à suggérer!</v>
      </c>
      <c r="AB50" s="277"/>
      <c r="AC50" s="277"/>
      <c r="AD50" s="277"/>
      <c r="AE50" s="404"/>
      <c r="AF50" s="401"/>
      <c r="AG50" s="401"/>
      <c r="AH50" s="3" t="s">
        <v>61</v>
      </c>
      <c r="AJ50" s="42"/>
      <c r="AL50" s="507">
        <f>IF(AM50="Sous-Article","",IF(AL49="",AL48+1,AL49+1))</f>
        <v>29</v>
      </c>
      <c r="AM50" s="504">
        <f>Y50</f>
        <v>0</v>
      </c>
      <c r="AN50" s="504" t="str">
        <f>IFERROR((VLOOKUP($Y50,Présentation!$L$20:$M$24,2,FALSE)),"")</f>
        <v/>
      </c>
      <c r="AO50" s="502" t="str">
        <f>IFERROR(CHOOSE($AN50,"",Présentation!$D$20,Présentation!$D$21,Présentation!$D$22,Présentation!$D$23,Présentation!$D$24),"")</f>
        <v/>
      </c>
      <c r="AP50" s="516">
        <f>IF(AM50="Non applicable",1,0)</f>
        <v>0</v>
      </c>
      <c r="AQ50" s="512">
        <f>IF(AM50="Non applicable",0,1/COUNTIF($AP$49:$AP$51,"=0"))</f>
        <v>0.33333333333333331</v>
      </c>
      <c r="AR50" s="502" t="str">
        <f>IFERROR(AO50*AQ50,"")</f>
        <v/>
      </c>
      <c r="AS50" s="502"/>
      <c r="AT50" s="502"/>
      <c r="AU50" s="502"/>
      <c r="AV50" s="502"/>
      <c r="AW50" s="501"/>
      <c r="AX50" s="502"/>
      <c r="AY50" s="501"/>
      <c r="AZ50" s="501"/>
      <c r="BC50" s="510" t="str">
        <f t="shared" si="11"/>
        <v xml:space="preserve"> </v>
      </c>
    </row>
    <row r="51" spans="2:83" ht="30" customHeight="1" x14ac:dyDescent="0.25">
      <c r="B51" s="647"/>
      <c r="C51" s="388">
        <f>IF(ISERROR(C50+1),C49+1,C50+1)</f>
        <v>30</v>
      </c>
      <c r="D51" s="274" t="s">
        <v>299</v>
      </c>
      <c r="E51" s="642"/>
      <c r="F51" s="642"/>
      <c r="G51" s="642"/>
      <c r="H51" s="642"/>
      <c r="I51" s="642"/>
      <c r="J51" s="642"/>
      <c r="K51" s="642"/>
      <c r="L51" s="642"/>
      <c r="M51" s="642"/>
      <c r="N51" s="642"/>
      <c r="O51" s="642"/>
      <c r="P51" s="642"/>
      <c r="Q51" s="642"/>
      <c r="R51" s="642"/>
      <c r="S51" s="642"/>
      <c r="T51" s="642"/>
      <c r="U51" s="1"/>
      <c r="V51" s="375" t="s">
        <v>103</v>
      </c>
      <c r="W51" s="649"/>
      <c r="X51" s="1" t="str">
        <f t="shared" si="12"/>
        <v xml:space="preserve"> </v>
      </c>
      <c r="Y51" s="1"/>
      <c r="Z51" s="389" t="str">
        <f>IF($U51="Non","NA",$AO51)</f>
        <v/>
      </c>
      <c r="AA51" s="274" t="str">
        <f>IF(Exigences!Y51=Présentation!$L$20,'Plan d''actions'!E42,IF(Exigences!Y51=Présentation!$L$21,'Plan d''actions'!E42,"Pas de plan d'actions à suggérer!"))</f>
        <v>Pas de plan d'actions à suggérer!</v>
      </c>
      <c r="AB51" s="277"/>
      <c r="AC51" s="277"/>
      <c r="AD51" s="277"/>
      <c r="AE51" s="404"/>
      <c r="AF51" s="401"/>
      <c r="AG51" s="401"/>
      <c r="AH51" s="3" t="s">
        <v>61</v>
      </c>
      <c r="AJ51" s="42"/>
      <c r="AL51" s="507">
        <f>IF(AM51="Sous-Article","",IF(AL50="",AL49+1,AL50+1))</f>
        <v>30</v>
      </c>
      <c r="AM51" s="504">
        <f>Y51</f>
        <v>0</v>
      </c>
      <c r="AN51" s="504" t="str">
        <f>IFERROR((VLOOKUP($Y51,Présentation!$L$20:$M$24,2,FALSE)),"")</f>
        <v/>
      </c>
      <c r="AO51" s="502" t="str">
        <f>IFERROR(CHOOSE($AN51,"",Présentation!$D$20,Présentation!$D$21,Présentation!$D$22,Présentation!$D$23,Présentation!$D$24),"")</f>
        <v/>
      </c>
      <c r="AP51" s="516">
        <f>IF(AM51="Non applicable",1,0)</f>
        <v>0</v>
      </c>
      <c r="AQ51" s="512">
        <f>IF(AM51="Non applicable",0,1/COUNTIF($AP$49:$AP$51,"=0"))</f>
        <v>0.33333333333333331</v>
      </c>
      <c r="AR51" s="502" t="str">
        <f>IFERROR(AO51*AQ51,"")</f>
        <v/>
      </c>
      <c r="AS51" s="502"/>
      <c r="AT51" s="502"/>
      <c r="AU51" s="502"/>
      <c r="AV51" s="502"/>
      <c r="AW51" s="501"/>
      <c r="AX51" s="502"/>
      <c r="AY51" s="501"/>
      <c r="AZ51" s="501"/>
      <c r="BC51" s="510" t="str">
        <f t="shared" si="11"/>
        <v xml:space="preserve"> </v>
      </c>
    </row>
    <row r="52" spans="2:83" ht="30" customHeight="1" x14ac:dyDescent="0.25">
      <c r="B52" s="289"/>
      <c r="C52" s="224" t="s">
        <v>135</v>
      </c>
      <c r="D52" s="231" t="s">
        <v>137</v>
      </c>
      <c r="E52" s="641"/>
      <c r="F52" s="641"/>
      <c r="G52" s="641"/>
      <c r="H52" s="641"/>
      <c r="I52" s="641"/>
      <c r="J52" s="641"/>
      <c r="K52" s="641"/>
      <c r="L52" s="641"/>
      <c r="M52" s="641"/>
      <c r="N52" s="641"/>
      <c r="O52" s="641"/>
      <c r="P52" s="641"/>
      <c r="Q52" s="641"/>
      <c r="R52" s="641"/>
      <c r="S52" s="641"/>
      <c r="T52" s="641"/>
      <c r="U52" s="172" t="s">
        <v>261</v>
      </c>
      <c r="V52" s="172" t="s">
        <v>104</v>
      </c>
      <c r="W52" s="172" t="s">
        <v>188</v>
      </c>
      <c r="X52" s="172" t="s">
        <v>262</v>
      </c>
      <c r="Y52" s="172" t="str">
        <f>AS52</f>
        <v>Niveau non applicable</v>
      </c>
      <c r="Z52" s="172" t="str">
        <f>IF($Y52="Niveau non applicable","NA",$AR52)</f>
        <v>NA</v>
      </c>
      <c r="AA52" s="172" t="s">
        <v>296</v>
      </c>
      <c r="AB52" s="276" t="s">
        <v>638</v>
      </c>
      <c r="AC52" s="276" t="s">
        <v>605</v>
      </c>
      <c r="AD52" s="276" t="s">
        <v>279</v>
      </c>
      <c r="AE52" s="405" t="s">
        <v>280</v>
      </c>
      <c r="AF52" s="402" t="s">
        <v>281</v>
      </c>
      <c r="AG52" s="276" t="s">
        <v>527</v>
      </c>
      <c r="AH52" s="253" t="s">
        <v>101</v>
      </c>
      <c r="AJ52" s="42"/>
      <c r="AL52" s="507"/>
      <c r="AM52" s="511" t="s">
        <v>24</v>
      </c>
      <c r="AN52" s="511"/>
      <c r="AO52" s="501" t="s">
        <v>28</v>
      </c>
      <c r="AP52" s="501"/>
      <c r="AQ52" s="512">
        <f>SUM(AQ53:AQ56)</f>
        <v>1</v>
      </c>
      <c r="AR52" s="502">
        <f>IFERROR(SUM(AR53:AR56),"")</f>
        <v>0</v>
      </c>
      <c r="AS52" s="505" t="str">
        <f>IFERROR(IF(AR52=Présentation!$F$24,Présentation!$H$24,IF(AR52&lt;=Présentation!$F$20,Présentation!$G$20,IF(AR52&lt;=Présentation!$F$21,Présentation!$G$21,IF(AR52&lt;=Présentation!$F$22,Présentation!$G$22,Présentation!$G$23)))),"")</f>
        <v>Niveau non applicable</v>
      </c>
      <c r="AT52" s="513">
        <f>IF(AS52="Niveau Non applicable",1,0)</f>
        <v>1</v>
      </c>
      <c r="AU52" s="502">
        <f>IF(AS52="Niveau Non applicable",0,1/COUNTIF($AT$48:$AT$59,"=0"))</f>
        <v>0</v>
      </c>
      <c r="AV52" s="502">
        <f>AU52*AR52</f>
        <v>0</v>
      </c>
      <c r="AW52" s="501"/>
      <c r="AX52" s="502"/>
      <c r="AY52" s="501"/>
      <c r="AZ52" s="501"/>
      <c r="BC52" s="510" t="str">
        <f t="shared" si="11"/>
        <v xml:space="preserve"> </v>
      </c>
    </row>
    <row r="53" spans="2:83" ht="49.5" customHeight="1" x14ac:dyDescent="0.25">
      <c r="B53" s="646" t="s">
        <v>258</v>
      </c>
      <c r="C53" s="388">
        <f>IF(ISERROR(C52+1),C51+1,C52+1)</f>
        <v>31</v>
      </c>
      <c r="D53" s="274" t="s">
        <v>395</v>
      </c>
      <c r="E53" s="642"/>
      <c r="F53" s="642"/>
      <c r="G53" s="642"/>
      <c r="H53" s="642"/>
      <c r="I53" s="642"/>
      <c r="J53" s="642"/>
      <c r="K53" s="642"/>
      <c r="L53" s="642"/>
      <c r="M53" s="642"/>
      <c r="N53" s="642"/>
      <c r="O53" s="642"/>
      <c r="P53" s="642"/>
      <c r="Q53" s="642"/>
      <c r="R53" s="642"/>
      <c r="S53" s="642"/>
      <c r="T53" s="642"/>
      <c r="U53" s="1"/>
      <c r="V53" s="375" t="s">
        <v>102</v>
      </c>
      <c r="W53" s="638" t="s">
        <v>286</v>
      </c>
      <c r="X53" s="1" t="str">
        <f t="shared" si="12"/>
        <v xml:space="preserve"> </v>
      </c>
      <c r="Y53" s="1"/>
      <c r="Z53" s="389" t="str">
        <f>IF($U53="Non","NA",$AO53)</f>
        <v/>
      </c>
      <c r="AA53" s="274" t="str">
        <f>IF(Exigences!Y53=Présentation!$L$20,'Plan d''actions'!E44,IF(Exigences!Y53=Présentation!$L$21,'Plan d''actions'!E44,"Pas de plan d'actions à suggérer!"))</f>
        <v>Pas de plan d'actions à suggérer!</v>
      </c>
      <c r="AB53" s="277"/>
      <c r="AC53" s="277"/>
      <c r="AD53" s="277"/>
      <c r="AE53" s="404"/>
      <c r="AF53" s="401"/>
      <c r="AG53" s="401"/>
      <c r="AH53" s="3" t="s">
        <v>61</v>
      </c>
      <c r="AJ53" s="42"/>
      <c r="AL53" s="507">
        <f>IF(AM53="Sous-Article","",IF(AL52="",AL51+1,AL52+1))</f>
        <v>31</v>
      </c>
      <c r="AM53" s="504">
        <f>Y53</f>
        <v>0</v>
      </c>
      <c r="AN53" s="504" t="str">
        <f>IFERROR((VLOOKUP($Y53,Présentation!$L$20:$M$24,2,FALSE)),"")</f>
        <v/>
      </c>
      <c r="AO53" s="502" t="str">
        <f>IFERROR(CHOOSE($AN53,"",Présentation!$D$20,Présentation!$D$21,Présentation!$D$22,Présentation!$D$23,Présentation!$D$24),"")</f>
        <v/>
      </c>
      <c r="AP53" s="516">
        <f>IF(AM53="Non applicable",1,0)</f>
        <v>0</v>
      </c>
      <c r="AQ53" s="512">
        <f>IF(AM53="Non applicable",0,1/COUNTIF($AP$53:$AP$56,"=0"))</f>
        <v>0.25</v>
      </c>
      <c r="AR53" s="502" t="str">
        <f>IFERROR(AO53*AQ53,"")</f>
        <v/>
      </c>
      <c r="AS53" s="502"/>
      <c r="AT53" s="502"/>
      <c r="AU53" s="502"/>
      <c r="AV53" s="502"/>
      <c r="AW53" s="501"/>
      <c r="AX53" s="502"/>
      <c r="AY53" s="501"/>
      <c r="AZ53" s="501"/>
      <c r="BC53" s="510" t="str">
        <f t="shared" si="11"/>
        <v xml:space="preserve"> </v>
      </c>
    </row>
    <row r="54" spans="2:83" ht="21.75" customHeight="1" x14ac:dyDescent="0.25">
      <c r="B54" s="647"/>
      <c r="C54" s="388">
        <f>IF(ISERROR(C53+1),C52+1,C53+1)</f>
        <v>32</v>
      </c>
      <c r="D54" s="274" t="s">
        <v>396</v>
      </c>
      <c r="E54" s="642"/>
      <c r="F54" s="642"/>
      <c r="G54" s="642"/>
      <c r="H54" s="642"/>
      <c r="I54" s="642"/>
      <c r="J54" s="642"/>
      <c r="K54" s="642"/>
      <c r="L54" s="642"/>
      <c r="M54" s="642"/>
      <c r="N54" s="642"/>
      <c r="O54" s="642"/>
      <c r="P54" s="642"/>
      <c r="Q54" s="642"/>
      <c r="R54" s="642"/>
      <c r="S54" s="642"/>
      <c r="T54" s="642"/>
      <c r="U54" s="1"/>
      <c r="V54" s="375" t="s">
        <v>102</v>
      </c>
      <c r="W54" s="639"/>
      <c r="X54" s="1" t="str">
        <f t="shared" si="12"/>
        <v xml:space="preserve"> </v>
      </c>
      <c r="Y54" s="1"/>
      <c r="Z54" s="389" t="str">
        <f>IF($U54="Non","NA",$AO54)</f>
        <v/>
      </c>
      <c r="AA54" s="274" t="str">
        <f>IF(Exigences!Y54=Présentation!$L$20,'Plan d''actions'!E45,IF(Exigences!Y54=Présentation!$L$21,'Plan d''actions'!E45,"Pas de plan d'actions à suggérer!"))</f>
        <v>Pas de plan d'actions à suggérer!</v>
      </c>
      <c r="AB54" s="277"/>
      <c r="AC54" s="277"/>
      <c r="AD54" s="277"/>
      <c r="AE54" s="404"/>
      <c r="AF54" s="401"/>
      <c r="AG54" s="401"/>
      <c r="AH54" s="3" t="s">
        <v>61</v>
      </c>
      <c r="AJ54" s="42"/>
      <c r="AL54" s="507">
        <f>IF(AM54="Sous-Article","",IF(AL53="",AL52+1,AL53+1))</f>
        <v>32</v>
      </c>
      <c r="AM54" s="504">
        <f>Y54</f>
        <v>0</v>
      </c>
      <c r="AN54" s="504" t="str">
        <f>IFERROR((VLOOKUP($Y54,Présentation!$L$20:$M$24,2,FALSE)),"")</f>
        <v/>
      </c>
      <c r="AO54" s="502" t="str">
        <f>IFERROR(CHOOSE($AN54,"",Présentation!$D$20,Présentation!$D$21,Présentation!$D$22,Présentation!$D$23,Présentation!$D$24),"")</f>
        <v/>
      </c>
      <c r="AP54" s="516">
        <f>IF(AM54="Non applicable",1,0)</f>
        <v>0</v>
      </c>
      <c r="AQ54" s="512">
        <f>IF(AM54="Non applicable",0,1/COUNTIF($AP$53:$AP$56,"=0"))</f>
        <v>0.25</v>
      </c>
      <c r="AR54" s="502" t="str">
        <f>IFERROR(AO54*AQ54,"")</f>
        <v/>
      </c>
      <c r="AS54" s="502"/>
      <c r="AT54" s="502"/>
      <c r="AU54" s="502"/>
      <c r="AV54" s="502"/>
      <c r="AW54" s="501"/>
      <c r="AX54" s="502"/>
      <c r="AY54" s="501"/>
      <c r="AZ54" s="501"/>
      <c r="BC54" s="510" t="str">
        <f t="shared" si="11"/>
        <v xml:space="preserve"> </v>
      </c>
    </row>
    <row r="55" spans="2:83" ht="18.75" customHeight="1" x14ac:dyDescent="0.25">
      <c r="B55" s="647"/>
      <c r="C55" s="388">
        <f>IF(ISERROR(C54+1),C53+1,C54+1)</f>
        <v>33</v>
      </c>
      <c r="D55" s="274" t="s">
        <v>285</v>
      </c>
      <c r="E55" s="642"/>
      <c r="F55" s="642"/>
      <c r="G55" s="642"/>
      <c r="H55" s="642"/>
      <c r="I55" s="642"/>
      <c r="J55" s="642"/>
      <c r="K55" s="642"/>
      <c r="L55" s="642"/>
      <c r="M55" s="642"/>
      <c r="N55" s="642"/>
      <c r="O55" s="642"/>
      <c r="P55" s="642"/>
      <c r="Q55" s="642"/>
      <c r="R55" s="642"/>
      <c r="S55" s="642"/>
      <c r="T55" s="642"/>
      <c r="U55" s="1"/>
      <c r="V55" s="375" t="s">
        <v>102</v>
      </c>
      <c r="W55" s="649"/>
      <c r="X55" s="1" t="str">
        <f t="shared" si="12"/>
        <v xml:space="preserve"> </v>
      </c>
      <c r="Y55" s="1"/>
      <c r="Z55" s="389" t="str">
        <f>IF($U55="Non","NA",$AO55)</f>
        <v/>
      </c>
      <c r="AA55" s="274" t="str">
        <f>IF(Exigences!Y55=Présentation!$L$20,'Plan d''actions'!E46,IF(Exigences!Y55=Présentation!$L$21,'Plan d''actions'!E46,"Pas de plan d'actions à suggérer!"))</f>
        <v>Pas de plan d'actions à suggérer!</v>
      </c>
      <c r="AB55" s="277"/>
      <c r="AC55" s="277"/>
      <c r="AD55" s="277"/>
      <c r="AE55" s="404"/>
      <c r="AF55" s="401"/>
      <c r="AG55" s="401"/>
      <c r="AH55" s="3"/>
      <c r="AJ55" s="42"/>
      <c r="AL55" s="507">
        <f>IF(AM55="Sous-Article","",IF(AL54="",AL53+1,AL54+1))</f>
        <v>33</v>
      </c>
      <c r="AM55" s="504">
        <f>Y55</f>
        <v>0</v>
      </c>
      <c r="AN55" s="504" t="str">
        <f>IFERROR((VLOOKUP($Y55,Présentation!$L$20:$M$24,2,FALSE)),"")</f>
        <v/>
      </c>
      <c r="AO55" s="502" t="str">
        <f>IFERROR(CHOOSE($AN55,"",Présentation!$D$20,Présentation!$D$21,Présentation!$D$22,Présentation!$D$23,Présentation!$D$24),"")</f>
        <v/>
      </c>
      <c r="AP55" s="516">
        <f>IF(AM55="Non applicable",1,0)</f>
        <v>0</v>
      </c>
      <c r="AQ55" s="512">
        <f>IF(AM55="Non applicable",0,1/COUNTIF($AP$53:$AP$56,"=0"))</f>
        <v>0.25</v>
      </c>
      <c r="AR55" s="502" t="str">
        <f>IFERROR(AO55*AQ55,"")</f>
        <v/>
      </c>
      <c r="AS55" s="502"/>
      <c r="AT55" s="502"/>
      <c r="AU55" s="502"/>
      <c r="AV55" s="502"/>
      <c r="AW55" s="501"/>
      <c r="AX55" s="502"/>
      <c r="AY55" s="501"/>
      <c r="AZ55" s="501"/>
      <c r="BC55" s="510" t="str">
        <f t="shared" si="11"/>
        <v xml:space="preserve"> </v>
      </c>
    </row>
    <row r="56" spans="2:83" ht="30" customHeight="1" x14ac:dyDescent="0.25">
      <c r="B56" s="709"/>
      <c r="C56" s="388">
        <f>IF(ISERROR(C55+1),C54+1,C55+1)</f>
        <v>34</v>
      </c>
      <c r="D56" s="274" t="s">
        <v>433</v>
      </c>
      <c r="E56" s="643"/>
      <c r="F56" s="643"/>
      <c r="G56" s="643"/>
      <c r="H56" s="643"/>
      <c r="I56" s="643"/>
      <c r="J56" s="643"/>
      <c r="K56" s="643"/>
      <c r="L56" s="643"/>
      <c r="M56" s="643"/>
      <c r="N56" s="643"/>
      <c r="O56" s="643"/>
      <c r="P56" s="643"/>
      <c r="Q56" s="643"/>
      <c r="R56" s="643"/>
      <c r="S56" s="643"/>
      <c r="T56" s="643"/>
      <c r="U56" s="1"/>
      <c r="V56" s="375" t="s">
        <v>103</v>
      </c>
      <c r="W56" s="278" t="s">
        <v>287</v>
      </c>
      <c r="X56" s="1" t="str">
        <f t="shared" si="12"/>
        <v xml:space="preserve"> </v>
      </c>
      <c r="Y56" s="1"/>
      <c r="Z56" s="389" t="str">
        <f>IF($U56="Non","NA",$AO56)</f>
        <v/>
      </c>
      <c r="AA56" s="274" t="str">
        <f>IF(Exigences!Y56=Présentation!$L$20,'Plan d''actions'!E47,IF(Exigences!Y56=Présentation!$L$21,'Plan d''actions'!E47,"Pas de plan d'actions à suggérer!"))</f>
        <v>Pas de plan d'actions à suggérer!</v>
      </c>
      <c r="AB56" s="277"/>
      <c r="AC56" s="277"/>
      <c r="AD56" s="277"/>
      <c r="AE56" s="404"/>
      <c r="AF56" s="401"/>
      <c r="AG56" s="401"/>
      <c r="AH56" s="3" t="s">
        <v>61</v>
      </c>
      <c r="AJ56" s="42"/>
      <c r="AL56" s="507">
        <f>IF(AM56="Sous-Article","",IF(AL55="",AL54+1,AL55+1))</f>
        <v>34</v>
      </c>
      <c r="AM56" s="504">
        <f>Y56</f>
        <v>0</v>
      </c>
      <c r="AN56" s="504" t="str">
        <f>IFERROR((VLOOKUP($Y56,Présentation!$L$20:$M$24,2,FALSE)),"")</f>
        <v/>
      </c>
      <c r="AO56" s="502" t="str">
        <f>IFERROR(CHOOSE($AN56,"",Présentation!$D$20,Présentation!$D$21,Présentation!$D$22,Présentation!$D$23,Présentation!$D$24),"")</f>
        <v/>
      </c>
      <c r="AP56" s="516">
        <f>IF(AM56="Non applicable",1,0)</f>
        <v>0</v>
      </c>
      <c r="AQ56" s="512">
        <f>IF(AM56="Non applicable",0,1/COUNTIF($AP$53:$AP$56,"=0"))</f>
        <v>0.25</v>
      </c>
      <c r="AR56" s="502" t="str">
        <f>IFERROR(AO56*AQ56,"")</f>
        <v/>
      </c>
      <c r="AS56" s="502"/>
      <c r="AT56" s="502"/>
      <c r="AU56" s="502"/>
      <c r="AV56" s="502"/>
      <c r="AW56" s="501"/>
      <c r="AX56" s="502"/>
      <c r="AY56" s="501"/>
      <c r="AZ56" s="501"/>
      <c r="BC56" s="510" t="str">
        <f t="shared" si="11"/>
        <v xml:space="preserve"> </v>
      </c>
    </row>
    <row r="57" spans="2:83" ht="30" customHeight="1" x14ac:dyDescent="0.25">
      <c r="B57" s="224"/>
      <c r="C57" s="224" t="s">
        <v>136</v>
      </c>
      <c r="D57" s="231" t="s">
        <v>138</v>
      </c>
      <c r="E57" s="641"/>
      <c r="F57" s="641"/>
      <c r="G57" s="641"/>
      <c r="H57" s="641"/>
      <c r="I57" s="641"/>
      <c r="J57" s="641"/>
      <c r="K57" s="641"/>
      <c r="L57" s="641"/>
      <c r="M57" s="641"/>
      <c r="N57" s="641"/>
      <c r="O57" s="641"/>
      <c r="P57" s="641"/>
      <c r="Q57" s="641"/>
      <c r="R57" s="641"/>
      <c r="S57" s="641"/>
      <c r="T57" s="641"/>
      <c r="U57" s="172" t="s">
        <v>261</v>
      </c>
      <c r="V57" s="172" t="s">
        <v>104</v>
      </c>
      <c r="W57" s="269" t="s">
        <v>188</v>
      </c>
      <c r="X57" s="172" t="s">
        <v>262</v>
      </c>
      <c r="Y57" s="172" t="str">
        <f>AS57</f>
        <v>Niveau non applicable</v>
      </c>
      <c r="Z57" s="172" t="str">
        <f>IF($Y57="Niveau non applicable","NA",$AR57)</f>
        <v>NA</v>
      </c>
      <c r="AA57" s="172" t="s">
        <v>296</v>
      </c>
      <c r="AB57" s="276" t="s">
        <v>638</v>
      </c>
      <c r="AC57" s="276" t="s">
        <v>605</v>
      </c>
      <c r="AD57" s="276" t="s">
        <v>279</v>
      </c>
      <c r="AE57" s="405" t="s">
        <v>280</v>
      </c>
      <c r="AF57" s="402" t="s">
        <v>281</v>
      </c>
      <c r="AG57" s="276" t="s">
        <v>527</v>
      </c>
      <c r="AH57" s="253" t="s">
        <v>101</v>
      </c>
      <c r="AJ57" s="42"/>
      <c r="AL57" s="507" t="str">
        <f>IF(AM57="Sous-Article","",IF(AL56="",AL54+1,AL56+1))</f>
        <v/>
      </c>
      <c r="AM57" s="511" t="s">
        <v>24</v>
      </c>
      <c r="AN57" s="511"/>
      <c r="AO57" s="501" t="s">
        <v>28</v>
      </c>
      <c r="AP57" s="501"/>
      <c r="AQ57" s="512">
        <f>SUM(AQ58:AQ59)</f>
        <v>1</v>
      </c>
      <c r="AR57" s="502">
        <f>IFERROR(SUM(AR58:AR59),"")</f>
        <v>0</v>
      </c>
      <c r="AS57" s="505" t="str">
        <f>IFERROR(IF(AR57=Présentation!$F$24,Présentation!$H$24,IF(AR57&lt;=Présentation!$F$20,Présentation!$G$20,IF(AR57&lt;=Présentation!$F$21,Présentation!$G$21,IF(AR57&lt;=Présentation!$F$22,Présentation!$G$22,Présentation!$G$23)))),"")</f>
        <v>Niveau non applicable</v>
      </c>
      <c r="AT57" s="513">
        <f>IF(AS57="Niveau Non applicable",1,0)</f>
        <v>1</v>
      </c>
      <c r="AU57" s="502">
        <f>IF(AS57="Niveau Non applicable",0,1/COUNTIF($AT$48:$AT$59,"=0"))</f>
        <v>0</v>
      </c>
      <c r="AV57" s="502">
        <f>AU57*AR57</f>
        <v>0</v>
      </c>
      <c r="AW57" s="501"/>
      <c r="AX57" s="502"/>
      <c r="AY57" s="501"/>
      <c r="AZ57" s="501"/>
      <c r="BC57" s="510" t="str">
        <f t="shared" si="11"/>
        <v xml:space="preserve"> </v>
      </c>
    </row>
    <row r="58" spans="2:83" ht="21" customHeight="1" x14ac:dyDescent="0.25">
      <c r="B58" s="646" t="s">
        <v>258</v>
      </c>
      <c r="C58" s="388">
        <f>IF(ISERROR(C57+1),C56+1,C57+1)</f>
        <v>35</v>
      </c>
      <c r="D58" s="274" t="s">
        <v>434</v>
      </c>
      <c r="E58" s="642"/>
      <c r="F58" s="642"/>
      <c r="G58" s="642"/>
      <c r="H58" s="642"/>
      <c r="I58" s="642"/>
      <c r="J58" s="642"/>
      <c r="K58" s="642"/>
      <c r="L58" s="642"/>
      <c r="M58" s="642"/>
      <c r="N58" s="642"/>
      <c r="O58" s="642"/>
      <c r="P58" s="642"/>
      <c r="Q58" s="642"/>
      <c r="R58" s="642"/>
      <c r="S58" s="642"/>
      <c r="T58" s="642"/>
      <c r="U58" s="1"/>
      <c r="V58" s="375" t="s">
        <v>103</v>
      </c>
      <c r="W58" s="638" t="s">
        <v>289</v>
      </c>
      <c r="X58" s="1" t="str">
        <f t="shared" si="12"/>
        <v xml:space="preserve"> </v>
      </c>
      <c r="Y58" s="1"/>
      <c r="Z58" s="389" t="str">
        <f>IF($U58="Non","NA",$AO58)</f>
        <v/>
      </c>
      <c r="AA58" s="274" t="str">
        <f>IF(Exigences!Y58=Présentation!$L$20,'Plan d''actions'!E49,IF(Exigences!Y58=Présentation!$L$21,'Plan d''actions'!E49,"Pas de plan d'actions à suggérer!"))</f>
        <v>Pas de plan d'actions à suggérer!</v>
      </c>
      <c r="AB58" s="277"/>
      <c r="AC58" s="277"/>
      <c r="AD58" s="277"/>
      <c r="AE58" s="404"/>
      <c r="AF58" s="401"/>
      <c r="AG58" s="401"/>
      <c r="AH58" s="3" t="s">
        <v>61</v>
      </c>
      <c r="AJ58" s="42"/>
      <c r="AL58" s="507">
        <f>IF(AM58="Sous-Article","",IF(AL57="",AL56+1,AL57+1))</f>
        <v>35</v>
      </c>
      <c r="AM58" s="504">
        <f>Y58</f>
        <v>0</v>
      </c>
      <c r="AN58" s="504" t="str">
        <f>IFERROR((VLOOKUP($Y58,Présentation!$L$20:$M$24,2,FALSE)),"")</f>
        <v/>
      </c>
      <c r="AO58" s="502" t="str">
        <f>IFERROR(CHOOSE($AN58,"",Présentation!$D$20,Présentation!$D$21,Présentation!$D$22,Présentation!$D$23,Présentation!$D$24),"")</f>
        <v/>
      </c>
      <c r="AP58" s="516">
        <f>IF(AM58="Non applicable",1,0)</f>
        <v>0</v>
      </c>
      <c r="AQ58" s="512">
        <f>IF(AM58="Non applicable",0,1/COUNTIF($AP$58:$AP$59,"=0"))</f>
        <v>0.5</v>
      </c>
      <c r="AR58" s="502" t="str">
        <f>IFERROR(AO58*AQ58,"")</f>
        <v/>
      </c>
      <c r="AS58" s="502"/>
      <c r="AT58" s="502"/>
      <c r="AU58" s="502"/>
      <c r="AV58" s="502"/>
      <c r="AW58" s="501"/>
      <c r="AX58" s="502"/>
      <c r="AY58" s="501"/>
      <c r="AZ58" s="501"/>
      <c r="BC58" s="510" t="str">
        <f t="shared" si="11"/>
        <v xml:space="preserve"> </v>
      </c>
    </row>
    <row r="59" spans="2:83" ht="47.25" customHeight="1" x14ac:dyDescent="0.25">
      <c r="B59" s="709"/>
      <c r="C59" s="388">
        <f>IF(ISERROR(C58+1),C57+1,C58+1)</f>
        <v>36</v>
      </c>
      <c r="D59" s="274" t="s">
        <v>435</v>
      </c>
      <c r="E59" s="642"/>
      <c r="F59" s="642"/>
      <c r="G59" s="642"/>
      <c r="H59" s="642"/>
      <c r="I59" s="642"/>
      <c r="J59" s="642"/>
      <c r="K59" s="642"/>
      <c r="L59" s="642"/>
      <c r="M59" s="642"/>
      <c r="N59" s="642"/>
      <c r="O59" s="642"/>
      <c r="P59" s="642"/>
      <c r="Q59" s="642"/>
      <c r="R59" s="642"/>
      <c r="S59" s="642"/>
      <c r="T59" s="642"/>
      <c r="U59" s="1"/>
      <c r="V59" s="375" t="s">
        <v>103</v>
      </c>
      <c r="W59" s="640"/>
      <c r="X59" s="1" t="str">
        <f t="shared" si="12"/>
        <v xml:space="preserve"> </v>
      </c>
      <c r="Y59" s="1"/>
      <c r="Z59" s="389" t="str">
        <f>IF($U59="Non","NA",$AO59)</f>
        <v/>
      </c>
      <c r="AA59" s="274" t="str">
        <f>IF(Exigences!Y59=Présentation!$L$20,'Plan d''actions'!E50,IF(Exigences!Y59=Présentation!$L$21,'Plan d''actions'!E50,"Pas de plan d'actions à suggérer!"))</f>
        <v>Pas de plan d'actions à suggérer!</v>
      </c>
      <c r="AB59" s="277"/>
      <c r="AC59" s="277"/>
      <c r="AD59" s="277"/>
      <c r="AE59" s="404"/>
      <c r="AF59" s="401"/>
      <c r="AG59" s="401"/>
      <c r="AH59" s="3" t="s">
        <v>61</v>
      </c>
      <c r="AJ59" s="42"/>
      <c r="AL59" s="507">
        <f>IF(AM59="Sous-Article","",IF(AL58="",AL57+1,AL58+1))</f>
        <v>36</v>
      </c>
      <c r="AM59" s="504">
        <f>Y59</f>
        <v>0</v>
      </c>
      <c r="AN59" s="504" t="str">
        <f>IFERROR((VLOOKUP($Y59,Présentation!$L$20:$M$24,2,FALSE)),"")</f>
        <v/>
      </c>
      <c r="AO59" s="502" t="str">
        <f>IFERROR(CHOOSE($AN59,"",Présentation!$D$20,Présentation!$D$21,Présentation!$D$22,Présentation!$D$23,Présentation!$D$24),"")</f>
        <v/>
      </c>
      <c r="AP59" s="516">
        <f>IF(AM59="Non applicable",1,0)</f>
        <v>0</v>
      </c>
      <c r="AQ59" s="512">
        <f>IF(AM59="Non applicable",0,1/COUNTIF($AP$58:$AP$59,"=0"))</f>
        <v>0.5</v>
      </c>
      <c r="AR59" s="502" t="str">
        <f>IFERROR(AO59*AQ59,"")</f>
        <v/>
      </c>
      <c r="AS59" s="502"/>
      <c r="AT59" s="502"/>
      <c r="AU59" s="502"/>
      <c r="AV59" s="502"/>
      <c r="AW59" s="501"/>
      <c r="AX59" s="502"/>
      <c r="AY59" s="501"/>
      <c r="AZ59" s="501"/>
      <c r="BC59" s="510" t="str">
        <f t="shared" si="11"/>
        <v xml:space="preserve"> </v>
      </c>
    </row>
    <row r="60" spans="2:83" s="438" customFormat="1" ht="30" customHeight="1" x14ac:dyDescent="0.25">
      <c r="B60" s="270"/>
      <c r="C60" s="440">
        <v>7</v>
      </c>
      <c r="D60" s="430" t="s">
        <v>139</v>
      </c>
      <c r="E60" s="430"/>
      <c r="F60" s="430"/>
      <c r="G60" s="430"/>
      <c r="H60" s="430"/>
      <c r="I60" s="430"/>
      <c r="J60" s="430"/>
      <c r="K60" s="430"/>
      <c r="L60" s="430"/>
      <c r="M60" s="430"/>
      <c r="N60" s="430"/>
      <c r="O60" s="430"/>
      <c r="P60" s="430"/>
      <c r="Q60" s="430"/>
      <c r="R60" s="430"/>
      <c r="S60" s="430"/>
      <c r="T60" s="653"/>
      <c r="U60" s="654" t="s">
        <v>261</v>
      </c>
      <c r="V60" s="654" t="s">
        <v>100</v>
      </c>
      <c r="W60" s="171"/>
      <c r="X60" s="171"/>
      <c r="Y60" s="171" t="str">
        <f>AW60</f>
        <v>Niveau non applicable</v>
      </c>
      <c r="Z60" s="254" t="str">
        <f>IF($Y60="Niveau non applicable","NA",AV60)</f>
        <v>NA</v>
      </c>
      <c r="AA60" s="171" t="s">
        <v>296</v>
      </c>
      <c r="AB60" s="254" t="s">
        <v>638</v>
      </c>
      <c r="AC60" s="254" t="s">
        <v>605</v>
      </c>
      <c r="AD60" s="254" t="s">
        <v>279</v>
      </c>
      <c r="AE60" s="254" t="s">
        <v>280</v>
      </c>
      <c r="AF60" s="254" t="s">
        <v>281</v>
      </c>
      <c r="AG60" s="270" t="s">
        <v>527</v>
      </c>
      <c r="AH60" s="430" t="s">
        <v>101</v>
      </c>
      <c r="AJ60" s="42"/>
      <c r="AK60" s="182"/>
      <c r="AL60" s="507" t="str">
        <f>IF(AM60="Article","",IF(#REF!="",#REF!+1,#REF!+1))</f>
        <v/>
      </c>
      <c r="AM60" s="504" t="s">
        <v>23</v>
      </c>
      <c r="AN60" s="504"/>
      <c r="AO60" s="501"/>
      <c r="AP60" s="501"/>
      <c r="AQ60" s="512"/>
      <c r="AR60" s="502"/>
      <c r="AS60" s="502" t="s">
        <v>28</v>
      </c>
      <c r="AT60" s="502"/>
      <c r="AU60" s="507">
        <f>SUM(AU61:AU85)</f>
        <v>0</v>
      </c>
      <c r="AV60" s="507">
        <f>SUM(AV61:AV85)</f>
        <v>0</v>
      </c>
      <c r="AW60" s="505" t="str">
        <f>IFERROR(IF(AV60=Présentation!$D$24,Présentation!$H$24,IF(AV60&lt;=Présentation!$F$20,Présentation!$G$20,IF(AV60&lt;=Présentation!$F$21,Présentation!$G$21,IF(AV60&lt;=Présentation!$F$22,Présentation!$G$22,Présentation!$G$23)))),"")</f>
        <v>Niveau non applicable</v>
      </c>
      <c r="AX60" s="502">
        <f>1/7</f>
        <v>0.14285714285714285</v>
      </c>
      <c r="AY60" s="502">
        <f>AV60*AX60</f>
        <v>0</v>
      </c>
      <c r="AZ60" s="508"/>
      <c r="BA60" s="496"/>
      <c r="BB60" s="496"/>
      <c r="BC60" s="510" t="str">
        <f t="shared" si="11"/>
        <v xml:space="preserve"> </v>
      </c>
      <c r="BD60" s="496"/>
      <c r="BE60" s="496"/>
      <c r="BF60" s="496"/>
      <c r="BG60" s="496"/>
      <c r="BH60" s="496"/>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row>
    <row r="61" spans="2:83" ht="30" customHeight="1" x14ac:dyDescent="0.25">
      <c r="B61" s="224"/>
      <c r="C61" s="224" t="s">
        <v>141</v>
      </c>
      <c r="D61" s="231" t="s">
        <v>140</v>
      </c>
      <c r="E61" s="641"/>
      <c r="F61" s="641"/>
      <c r="G61" s="641"/>
      <c r="H61" s="641"/>
      <c r="I61" s="641"/>
      <c r="J61" s="641"/>
      <c r="K61" s="641"/>
      <c r="L61" s="641"/>
      <c r="M61" s="641"/>
      <c r="N61" s="641"/>
      <c r="O61" s="641"/>
      <c r="P61" s="641"/>
      <c r="Q61" s="641"/>
      <c r="R61" s="641"/>
      <c r="S61" s="641"/>
      <c r="T61" s="641"/>
      <c r="U61" s="172" t="s">
        <v>261</v>
      </c>
      <c r="V61" s="172" t="s">
        <v>104</v>
      </c>
      <c r="W61" s="172" t="s">
        <v>188</v>
      </c>
      <c r="X61" s="172" t="s">
        <v>262</v>
      </c>
      <c r="Y61" s="172" t="str">
        <f>AS61</f>
        <v>Niveau non applicable</v>
      </c>
      <c r="Z61" s="172" t="str">
        <f>IF($Y61="Niveau non applicable","NA",$AR61)</f>
        <v>NA</v>
      </c>
      <c r="AA61" s="172" t="s">
        <v>296</v>
      </c>
      <c r="AB61" s="276" t="s">
        <v>638</v>
      </c>
      <c r="AC61" s="276" t="s">
        <v>605</v>
      </c>
      <c r="AD61" s="276" t="s">
        <v>279</v>
      </c>
      <c r="AE61" s="405" t="s">
        <v>280</v>
      </c>
      <c r="AF61" s="402" t="s">
        <v>281</v>
      </c>
      <c r="AG61" s="276" t="s">
        <v>527</v>
      </c>
      <c r="AH61" s="253" t="s">
        <v>101</v>
      </c>
      <c r="AJ61" s="42"/>
      <c r="AL61" s="507" t="str">
        <f>IF(AM61="Sous-Article","",IF(AL60="",#REF!+1,AL60+1))</f>
        <v/>
      </c>
      <c r="AM61" s="511" t="s">
        <v>24</v>
      </c>
      <c r="AN61" s="511"/>
      <c r="AO61" s="501" t="s">
        <v>28</v>
      </c>
      <c r="AP61" s="501"/>
      <c r="AQ61" s="512">
        <f>SUM(AQ62:AQ70)</f>
        <v>1.0000000000000002</v>
      </c>
      <c r="AR61" s="502">
        <f>IFERROR(SUM(AR62:AR70),"")</f>
        <v>0</v>
      </c>
      <c r="AS61" s="505" t="str">
        <f>IFERROR(IF(AR61=Présentation!$F$24,Présentation!$H$24,IF(AR61&lt;=Présentation!$F$20,Présentation!$G$20,IF(AR61&lt;=Présentation!$F$21,Présentation!$G$21,IF(AR61&lt;=Présentation!$F$22,Présentation!$G$22,Présentation!$G$23)))),"")</f>
        <v>Niveau non applicable</v>
      </c>
      <c r="AT61" s="513">
        <f>IF(AS61="Niveau Non applicable",1,0)</f>
        <v>1</v>
      </c>
      <c r="AU61" s="502">
        <f>IF(AS61="Niveau Non applicable",0,1/COUNTIF($AT$61:$AT$85,"=0"))</f>
        <v>0</v>
      </c>
      <c r="AV61" s="502">
        <f>AU61*AR61</f>
        <v>0</v>
      </c>
      <c r="AW61" s="508"/>
      <c r="AX61" s="514"/>
      <c r="AY61" s="508"/>
      <c r="AZ61" s="508"/>
      <c r="BC61" s="510" t="str">
        <f t="shared" si="11"/>
        <v xml:space="preserve"> </v>
      </c>
    </row>
    <row r="62" spans="2:83" ht="101.25" customHeight="1" x14ac:dyDescent="0.25">
      <c r="B62" s="646" t="s">
        <v>258</v>
      </c>
      <c r="C62" s="388">
        <f>IF(ISERROR(C61+1),C59+1,C61+1)</f>
        <v>37</v>
      </c>
      <c r="D62" s="274" t="s">
        <v>291</v>
      </c>
      <c r="E62" s="642"/>
      <c r="F62" s="642"/>
      <c r="G62" s="642"/>
      <c r="H62" s="642"/>
      <c r="I62" s="642"/>
      <c r="J62" s="642"/>
      <c r="K62" s="642"/>
      <c r="L62" s="642"/>
      <c r="M62" s="642"/>
      <c r="N62" s="642"/>
      <c r="O62" s="642"/>
      <c r="P62" s="642"/>
      <c r="Q62" s="642"/>
      <c r="R62" s="642"/>
      <c r="S62" s="642"/>
      <c r="T62" s="642"/>
      <c r="U62" s="1"/>
      <c r="V62" s="375" t="s">
        <v>103</v>
      </c>
      <c r="W62" s="385" t="s">
        <v>293</v>
      </c>
      <c r="X62" s="1" t="str">
        <f>BC62</f>
        <v xml:space="preserve"> </v>
      </c>
      <c r="Y62" s="1"/>
      <c r="Z62" s="389" t="str">
        <f t="shared" ref="Z62:Z70" si="13">IF($U62="Non","NA",$AO62)</f>
        <v/>
      </c>
      <c r="AA62" s="274" t="str">
        <f>IF(Exigences!Y62=Présentation!$L$20,'Plan d''actions'!E53,IF(Exigences!Y62=Présentation!$L$21,'Plan d''actions'!E53,"Pas de plan d'actions à suggérer!"))</f>
        <v>Pas de plan d'actions à suggérer!</v>
      </c>
      <c r="AB62" s="277"/>
      <c r="AC62" s="277"/>
      <c r="AD62" s="277"/>
      <c r="AE62" s="404"/>
      <c r="AF62" s="401"/>
      <c r="AG62" s="401"/>
      <c r="AH62" s="3" t="s">
        <v>61</v>
      </c>
      <c r="AJ62" s="42"/>
      <c r="AL62" s="507">
        <f>IF(AM62="Sous-Article","",IF(AL61="",AL59+1,AL61+1))</f>
        <v>37</v>
      </c>
      <c r="AM62" s="504">
        <f t="shared" ref="AM62:AM70" si="14">Y62</f>
        <v>0</v>
      </c>
      <c r="AN62" s="504" t="str">
        <f>IFERROR((VLOOKUP($Y62,Présentation!$L$20:$M$24,2,FALSE)),"")</f>
        <v/>
      </c>
      <c r="AO62" s="502" t="str">
        <f>IFERROR(CHOOSE($AN62,"",Présentation!$D$20,Présentation!$D$21,Présentation!$D$22,Présentation!$D$23,Présentation!$D$24),"")</f>
        <v/>
      </c>
      <c r="AP62" s="516">
        <f>IF(AM62="Non applicable",1,0)</f>
        <v>0</v>
      </c>
      <c r="AQ62" s="512">
        <f t="shared" ref="AQ62:AQ68" si="15">IF(AM62="Non applicable",0,1/COUNTIF($AP$62:$AP$70,"=0"))</f>
        <v>0.1111111111111111</v>
      </c>
      <c r="AR62" s="502" t="str">
        <f>IFERROR(AO62*AQ62,"")</f>
        <v/>
      </c>
      <c r="AS62" s="502"/>
      <c r="AT62" s="502"/>
      <c r="AU62" s="502"/>
      <c r="AV62" s="502"/>
      <c r="AW62" s="501"/>
      <c r="AX62" s="502"/>
      <c r="AY62" s="501"/>
      <c r="AZ62" s="501"/>
      <c r="BC62" s="510" t="str">
        <f t="shared" si="11"/>
        <v xml:space="preserve"> </v>
      </c>
    </row>
    <row r="63" spans="2:83" ht="60" customHeight="1" x14ac:dyDescent="0.25">
      <c r="B63" s="647"/>
      <c r="C63" s="388">
        <f>IF(ISERROR(C62+1),C60+1,C62+1)</f>
        <v>38</v>
      </c>
      <c r="D63" s="274" t="s">
        <v>292</v>
      </c>
      <c r="E63" s="642"/>
      <c r="F63" s="642"/>
      <c r="G63" s="642"/>
      <c r="H63" s="642"/>
      <c r="I63" s="642"/>
      <c r="J63" s="642"/>
      <c r="K63" s="642"/>
      <c r="L63" s="642"/>
      <c r="M63" s="642"/>
      <c r="N63" s="642"/>
      <c r="O63" s="642"/>
      <c r="P63" s="642"/>
      <c r="Q63" s="642"/>
      <c r="R63" s="642"/>
      <c r="S63" s="642"/>
      <c r="T63" s="642"/>
      <c r="U63" s="1"/>
      <c r="V63" s="375" t="s">
        <v>103</v>
      </c>
      <c r="W63" s="385" t="s">
        <v>294</v>
      </c>
      <c r="X63" s="1" t="str">
        <f t="shared" ref="X63:X84" si="16">BC63</f>
        <v xml:space="preserve"> </v>
      </c>
      <c r="Y63" s="1"/>
      <c r="Z63" s="389" t="str">
        <f t="shared" si="13"/>
        <v/>
      </c>
      <c r="AA63" s="274" t="str">
        <f>IF(Exigences!Y63=Présentation!$L$20,'Plan d''actions'!E54,IF(Exigences!Y63=Présentation!$L$21,'Plan d''actions'!E54,"Pas de plan d'actions à suggérer!"))</f>
        <v>Pas de plan d'actions à suggérer!</v>
      </c>
      <c r="AB63" s="277"/>
      <c r="AC63" s="277"/>
      <c r="AD63" s="277"/>
      <c r="AE63" s="404"/>
      <c r="AF63" s="401"/>
      <c r="AG63" s="401"/>
      <c r="AH63" s="3" t="s">
        <v>61</v>
      </c>
      <c r="AJ63" s="42"/>
      <c r="AL63" s="507">
        <f t="shared" ref="AL63:AL70" si="17">IF(AM63="Sous-Article","",IF(AL62="",AL60+1,AL62+1))</f>
        <v>38</v>
      </c>
      <c r="AM63" s="504">
        <f t="shared" si="14"/>
        <v>0</v>
      </c>
      <c r="AN63" s="504" t="str">
        <f>IFERROR((VLOOKUP($Y63,Présentation!$L$20:$M$24,2,FALSE)),"")</f>
        <v/>
      </c>
      <c r="AO63" s="502" t="str">
        <f>IFERROR(CHOOSE($AN63,"",Présentation!$D$20,Présentation!$D$21,Présentation!$D$22,Présentation!$D$23,Présentation!$D$24),"")</f>
        <v/>
      </c>
      <c r="AP63" s="516">
        <f t="shared" ref="AP63:AP70" si="18">IF(AM63="Non applicable",1,0)</f>
        <v>0</v>
      </c>
      <c r="AQ63" s="512">
        <f t="shared" si="15"/>
        <v>0.1111111111111111</v>
      </c>
      <c r="AR63" s="502" t="str">
        <f t="shared" ref="AR63:AR70" si="19">IFERROR(AO63*AQ63,"")</f>
        <v/>
      </c>
      <c r="AS63" s="502"/>
      <c r="AT63" s="502"/>
      <c r="AU63" s="502"/>
      <c r="AV63" s="502"/>
      <c r="AW63" s="501"/>
      <c r="AX63" s="502"/>
      <c r="AY63" s="501"/>
      <c r="AZ63" s="501"/>
      <c r="BC63" s="510" t="str">
        <f t="shared" si="11"/>
        <v xml:space="preserve"> </v>
      </c>
    </row>
    <row r="64" spans="2:83" ht="80.25" customHeight="1" x14ac:dyDescent="0.25">
      <c r="B64" s="647"/>
      <c r="C64" s="388">
        <f>IF(ISERROR(C63+1),C61+1,C63+1)</f>
        <v>39</v>
      </c>
      <c r="D64" s="274" t="s">
        <v>295</v>
      </c>
      <c r="E64" s="642"/>
      <c r="F64" s="642"/>
      <c r="G64" s="642"/>
      <c r="H64" s="642"/>
      <c r="I64" s="642"/>
      <c r="J64" s="642"/>
      <c r="K64" s="642"/>
      <c r="L64" s="642"/>
      <c r="M64" s="642"/>
      <c r="N64" s="642"/>
      <c r="O64" s="642"/>
      <c r="P64" s="642"/>
      <c r="Q64" s="642"/>
      <c r="R64" s="642"/>
      <c r="S64" s="642"/>
      <c r="T64" s="642"/>
      <c r="U64" s="1"/>
      <c r="V64" s="375" t="s">
        <v>103</v>
      </c>
      <c r="W64" s="385" t="s">
        <v>311</v>
      </c>
      <c r="X64" s="1" t="str">
        <f t="shared" si="16"/>
        <v xml:space="preserve"> </v>
      </c>
      <c r="Y64" s="1"/>
      <c r="Z64" s="389" t="str">
        <f t="shared" si="13"/>
        <v/>
      </c>
      <c r="AA64" s="274" t="str">
        <f>IF(Exigences!Y64=Présentation!$L$20,'Plan d''actions'!E55,IF(Exigences!Y64=Présentation!$L$21,'Plan d''actions'!E55,"Pas de plan d'actions à suggérer!"))</f>
        <v>Pas de plan d'actions à suggérer!</v>
      </c>
      <c r="AB64" s="277"/>
      <c r="AC64" s="277"/>
      <c r="AD64" s="277"/>
      <c r="AE64" s="404"/>
      <c r="AF64" s="401"/>
      <c r="AG64" s="401"/>
      <c r="AH64" s="3" t="s">
        <v>61</v>
      </c>
      <c r="AJ64" s="42"/>
      <c r="AL64" s="507">
        <f t="shared" si="17"/>
        <v>39</v>
      </c>
      <c r="AM64" s="504">
        <f t="shared" si="14"/>
        <v>0</v>
      </c>
      <c r="AN64" s="504" t="str">
        <f>IFERROR((VLOOKUP($Y64,Présentation!$L$20:$M$24,2,FALSE)),"")</f>
        <v/>
      </c>
      <c r="AO64" s="502" t="str">
        <f>IFERROR(CHOOSE($AN64,"",Présentation!$D$20,Présentation!$D$21,Présentation!$D$22,Présentation!$D$23,Présentation!$D$24),"")</f>
        <v/>
      </c>
      <c r="AP64" s="516">
        <f t="shared" si="18"/>
        <v>0</v>
      </c>
      <c r="AQ64" s="512">
        <f t="shared" si="15"/>
        <v>0.1111111111111111</v>
      </c>
      <c r="AR64" s="502" t="str">
        <f t="shared" si="19"/>
        <v/>
      </c>
      <c r="AS64" s="502"/>
      <c r="AT64" s="502"/>
      <c r="AU64" s="502"/>
      <c r="AV64" s="502"/>
      <c r="AW64" s="501"/>
      <c r="AX64" s="502"/>
      <c r="AY64" s="501"/>
      <c r="AZ64" s="501"/>
      <c r="BC64" s="510" t="str">
        <f t="shared" si="11"/>
        <v xml:space="preserve"> </v>
      </c>
    </row>
    <row r="65" spans="2:55" ht="48" customHeight="1" x14ac:dyDescent="0.25">
      <c r="B65" s="647"/>
      <c r="C65" s="388">
        <f t="shared" ref="C65:C70" si="20">IF(ISERROR(C64+1),C63+1,C64+1)</f>
        <v>40</v>
      </c>
      <c r="D65" s="274" t="s">
        <v>300</v>
      </c>
      <c r="E65" s="643"/>
      <c r="F65" s="643"/>
      <c r="G65" s="643"/>
      <c r="H65" s="643"/>
      <c r="I65" s="643"/>
      <c r="J65" s="643"/>
      <c r="K65" s="643"/>
      <c r="L65" s="643"/>
      <c r="M65" s="643"/>
      <c r="N65" s="643"/>
      <c r="O65" s="643"/>
      <c r="P65" s="643"/>
      <c r="Q65" s="643"/>
      <c r="R65" s="643"/>
      <c r="S65" s="643"/>
      <c r="T65" s="643"/>
      <c r="U65" s="1"/>
      <c r="V65" s="375" t="s">
        <v>103</v>
      </c>
      <c r="W65" s="385" t="s">
        <v>312</v>
      </c>
      <c r="X65" s="1" t="str">
        <f t="shared" si="16"/>
        <v xml:space="preserve"> </v>
      </c>
      <c r="Y65" s="1"/>
      <c r="Z65" s="389" t="str">
        <f t="shared" si="13"/>
        <v/>
      </c>
      <c r="AA65" s="274" t="str">
        <f>IF(Exigences!Y65=Présentation!$L$20,'Plan d''actions'!E56,IF(Exigences!Y65=Présentation!$L$21,'Plan d''actions'!E56,"Pas de plan d'actions à suggérer!"))</f>
        <v>Pas de plan d'actions à suggérer!</v>
      </c>
      <c r="AB65" s="277"/>
      <c r="AC65" s="277"/>
      <c r="AD65" s="277"/>
      <c r="AE65" s="404"/>
      <c r="AF65" s="401"/>
      <c r="AG65" s="401"/>
      <c r="AH65" s="3" t="s">
        <v>61</v>
      </c>
      <c r="AJ65" s="42"/>
      <c r="AL65" s="507">
        <f t="shared" si="17"/>
        <v>40</v>
      </c>
      <c r="AM65" s="504">
        <f t="shared" si="14"/>
        <v>0</v>
      </c>
      <c r="AN65" s="504" t="str">
        <f>IFERROR((VLOOKUP($Y65,Présentation!$L$20:$M$24,2,FALSE)),"")</f>
        <v/>
      </c>
      <c r="AO65" s="502" t="str">
        <f>IFERROR(CHOOSE($AN65,"",Présentation!$D$20,Présentation!$D$21,Présentation!$D$22,Présentation!$D$23,Présentation!$D$24),"")</f>
        <v/>
      </c>
      <c r="AP65" s="516">
        <f t="shared" si="18"/>
        <v>0</v>
      </c>
      <c r="AQ65" s="512">
        <f t="shared" si="15"/>
        <v>0.1111111111111111</v>
      </c>
      <c r="AR65" s="502" t="str">
        <f t="shared" si="19"/>
        <v/>
      </c>
      <c r="AS65" s="502"/>
      <c r="AT65" s="502"/>
      <c r="AU65" s="502"/>
      <c r="AV65" s="502"/>
      <c r="AW65" s="501"/>
      <c r="AX65" s="502"/>
      <c r="AY65" s="501"/>
      <c r="AZ65" s="501"/>
      <c r="BC65" s="510" t="str">
        <f t="shared" si="11"/>
        <v xml:space="preserve"> </v>
      </c>
    </row>
    <row r="66" spans="2:55" ht="48" customHeight="1" x14ac:dyDescent="0.25">
      <c r="B66" s="647"/>
      <c r="C66" s="388">
        <f t="shared" si="20"/>
        <v>41</v>
      </c>
      <c r="D66" s="381" t="s">
        <v>436</v>
      </c>
      <c r="E66" s="400"/>
      <c r="F66" s="400"/>
      <c r="G66" s="400"/>
      <c r="H66" s="400"/>
      <c r="I66" s="400"/>
      <c r="J66" s="400"/>
      <c r="K66" s="400"/>
      <c r="L66" s="400"/>
      <c r="M66" s="400"/>
      <c r="N66" s="400"/>
      <c r="O66" s="400"/>
      <c r="P66" s="400"/>
      <c r="Q66" s="400"/>
      <c r="R66" s="400"/>
      <c r="S66" s="400"/>
      <c r="T66" s="400"/>
      <c r="U66" s="279"/>
      <c r="V66" s="375" t="s">
        <v>102</v>
      </c>
      <c r="W66" s="651" t="s">
        <v>422</v>
      </c>
      <c r="X66" s="1" t="str">
        <f t="shared" si="16"/>
        <v xml:space="preserve"> </v>
      </c>
      <c r="Y66" s="1"/>
      <c r="Z66" s="389" t="str">
        <f t="shared" si="13"/>
        <v/>
      </c>
      <c r="AA66" s="274" t="str">
        <f>IF(Exigences!Y66=Présentation!$L$20,'Plan d''actions'!E57,IF(Exigences!Y66=Présentation!$L$21,'Plan d''actions'!E57,"Pas de plan d'actions à suggérer!"))</f>
        <v>Pas de plan d'actions à suggérer!</v>
      </c>
      <c r="AB66" s="277"/>
      <c r="AC66" s="277"/>
      <c r="AD66" s="277"/>
      <c r="AE66" s="404"/>
      <c r="AF66" s="401"/>
      <c r="AG66" s="401"/>
      <c r="AH66" s="3" t="s">
        <v>61</v>
      </c>
      <c r="AJ66" s="42"/>
      <c r="AL66" s="507">
        <f t="shared" si="17"/>
        <v>41</v>
      </c>
      <c r="AM66" s="504">
        <f t="shared" si="14"/>
        <v>0</v>
      </c>
      <c r="AN66" s="504" t="str">
        <f>IFERROR((VLOOKUP($Y66,Présentation!$L$20:$M$24,2,FALSE)),"")</f>
        <v/>
      </c>
      <c r="AO66" s="502" t="str">
        <f>IFERROR(CHOOSE($AN66,"",Présentation!$D$20,Présentation!$D$21,Présentation!$D$22,Présentation!$D$23,Présentation!$D$24),"")</f>
        <v/>
      </c>
      <c r="AP66" s="516">
        <f t="shared" si="18"/>
        <v>0</v>
      </c>
      <c r="AQ66" s="512">
        <f t="shared" si="15"/>
        <v>0.1111111111111111</v>
      </c>
      <c r="AR66" s="502" t="str">
        <f t="shared" si="19"/>
        <v/>
      </c>
      <c r="AS66" s="502"/>
      <c r="AT66" s="502"/>
      <c r="AU66" s="502"/>
      <c r="AV66" s="502"/>
      <c r="AW66" s="501"/>
      <c r="AX66" s="502"/>
      <c r="AY66" s="501"/>
      <c r="AZ66" s="501"/>
      <c r="BC66" s="510" t="str">
        <f t="shared" si="11"/>
        <v xml:space="preserve"> </v>
      </c>
    </row>
    <row r="67" spans="2:55" ht="48" customHeight="1" x14ac:dyDescent="0.25">
      <c r="B67" s="648"/>
      <c r="C67" s="388">
        <f t="shared" si="20"/>
        <v>42</v>
      </c>
      <c r="D67" s="381" t="s">
        <v>406</v>
      </c>
      <c r="E67" s="400"/>
      <c r="F67" s="400"/>
      <c r="G67" s="400"/>
      <c r="H67" s="400"/>
      <c r="I67" s="400"/>
      <c r="J67" s="400"/>
      <c r="K67" s="400"/>
      <c r="L67" s="400"/>
      <c r="M67" s="400"/>
      <c r="N67" s="400"/>
      <c r="O67" s="400"/>
      <c r="P67" s="400"/>
      <c r="Q67" s="400"/>
      <c r="R67" s="400"/>
      <c r="S67" s="400"/>
      <c r="T67" s="400"/>
      <c r="U67" s="279"/>
      <c r="V67" s="375" t="s">
        <v>102</v>
      </c>
      <c r="W67" s="652"/>
      <c r="X67" s="1" t="str">
        <f t="shared" si="16"/>
        <v xml:space="preserve"> </v>
      </c>
      <c r="Y67" s="1"/>
      <c r="Z67" s="389" t="str">
        <f t="shared" si="13"/>
        <v/>
      </c>
      <c r="AA67" s="274" t="str">
        <f>IF(Exigences!Y67=Présentation!$L$20,'Plan d''actions'!E58,IF(Exigences!Y67=Présentation!$L$21,'Plan d''actions'!E58,"Pas de plan d'actions à suggérer!"))</f>
        <v>Pas de plan d'actions à suggérer!</v>
      </c>
      <c r="AB67" s="277"/>
      <c r="AC67" s="277"/>
      <c r="AD67" s="277"/>
      <c r="AE67" s="404"/>
      <c r="AF67" s="401"/>
      <c r="AG67" s="401"/>
      <c r="AH67" s="3" t="s">
        <v>61</v>
      </c>
      <c r="AJ67" s="42"/>
      <c r="AL67" s="507">
        <f t="shared" si="17"/>
        <v>42</v>
      </c>
      <c r="AM67" s="504">
        <f t="shared" si="14"/>
        <v>0</v>
      </c>
      <c r="AN67" s="504" t="str">
        <f>IFERROR((VLOOKUP($Y67,Présentation!$L$20:$M$24,2,FALSE)),"")</f>
        <v/>
      </c>
      <c r="AO67" s="502" t="str">
        <f>IFERROR(CHOOSE($AN67,"",Présentation!$D$20,Présentation!$D$21,Présentation!$D$22,Présentation!$D$23,Présentation!$D$24),"")</f>
        <v/>
      </c>
      <c r="AP67" s="516">
        <f t="shared" si="18"/>
        <v>0</v>
      </c>
      <c r="AQ67" s="512">
        <f t="shared" si="15"/>
        <v>0.1111111111111111</v>
      </c>
      <c r="AR67" s="502" t="str">
        <f t="shared" si="19"/>
        <v/>
      </c>
      <c r="AS67" s="502"/>
      <c r="AT67" s="502"/>
      <c r="AU67" s="502"/>
      <c r="AV67" s="502"/>
      <c r="AW67" s="501"/>
      <c r="AX67" s="502"/>
      <c r="AY67" s="501"/>
      <c r="AZ67" s="501"/>
      <c r="BC67" s="510" t="str">
        <f t="shared" si="11"/>
        <v xml:space="preserve"> </v>
      </c>
    </row>
    <row r="68" spans="2:55" ht="48" customHeight="1" x14ac:dyDescent="0.25">
      <c r="B68" s="288" t="s">
        <v>257</v>
      </c>
      <c r="C68" s="388">
        <f t="shared" si="20"/>
        <v>43</v>
      </c>
      <c r="D68" s="380" t="s">
        <v>404</v>
      </c>
      <c r="E68" s="400"/>
      <c r="F68" s="400"/>
      <c r="G68" s="400"/>
      <c r="H68" s="400"/>
      <c r="I68" s="400"/>
      <c r="J68" s="400"/>
      <c r="K68" s="400"/>
      <c r="L68" s="400"/>
      <c r="M68" s="400"/>
      <c r="N68" s="400"/>
      <c r="O68" s="400"/>
      <c r="P68" s="400"/>
      <c r="Q68" s="400"/>
      <c r="R68" s="400"/>
      <c r="S68" s="400"/>
      <c r="T68" s="400"/>
      <c r="U68" s="279"/>
      <c r="V68" s="375" t="s">
        <v>103</v>
      </c>
      <c r="W68" s="385" t="s">
        <v>405</v>
      </c>
      <c r="X68" s="1" t="str">
        <f t="shared" si="16"/>
        <v xml:space="preserve"> </v>
      </c>
      <c r="Y68" s="1"/>
      <c r="Z68" s="389" t="str">
        <f t="shared" si="13"/>
        <v/>
      </c>
      <c r="AA68" s="274" t="str">
        <f>IF(Exigences!Y68=Présentation!$L$20,'Plan d''actions'!E59,IF(Exigences!Y68=Présentation!$L$21,'Plan d''actions'!E59,"Pas de plan d'actions à suggérer!"))</f>
        <v>Pas de plan d'actions à suggérer!</v>
      </c>
      <c r="AB68" s="277"/>
      <c r="AC68" s="277"/>
      <c r="AD68" s="277"/>
      <c r="AE68" s="404"/>
      <c r="AF68" s="401"/>
      <c r="AG68" s="401"/>
      <c r="AH68" s="3" t="s">
        <v>61</v>
      </c>
      <c r="AJ68" s="42"/>
      <c r="AL68" s="507">
        <f t="shared" si="17"/>
        <v>43</v>
      </c>
      <c r="AM68" s="504">
        <f t="shared" si="14"/>
        <v>0</v>
      </c>
      <c r="AN68" s="504" t="str">
        <f>IFERROR((VLOOKUP($Y68,Présentation!$L$20:$M$24,2,FALSE)),"")</f>
        <v/>
      </c>
      <c r="AO68" s="502" t="str">
        <f>IFERROR(CHOOSE($AN68,"",Présentation!$D$20,Présentation!$D$21,Présentation!$D$22,Présentation!$D$23,Présentation!$D$24),"")</f>
        <v/>
      </c>
      <c r="AP68" s="516">
        <f t="shared" si="18"/>
        <v>0</v>
      </c>
      <c r="AQ68" s="512">
        <f t="shared" si="15"/>
        <v>0.1111111111111111</v>
      </c>
      <c r="AR68" s="502" t="str">
        <f t="shared" si="19"/>
        <v/>
      </c>
      <c r="AS68" s="502"/>
      <c r="AT68" s="502"/>
      <c r="AU68" s="502"/>
      <c r="AV68" s="502"/>
      <c r="AW68" s="501"/>
      <c r="AX68" s="502"/>
      <c r="AY68" s="501"/>
      <c r="AZ68" s="501"/>
      <c r="BC68" s="510" t="str">
        <f t="shared" si="11"/>
        <v xml:space="preserve"> </v>
      </c>
    </row>
    <row r="69" spans="2:55" ht="48" customHeight="1" x14ac:dyDescent="0.25">
      <c r="B69" s="650" t="s">
        <v>258</v>
      </c>
      <c r="C69" s="388">
        <f t="shared" si="20"/>
        <v>44</v>
      </c>
      <c r="D69" s="381" t="s">
        <v>427</v>
      </c>
      <c r="E69" s="400"/>
      <c r="F69" s="400"/>
      <c r="G69" s="400"/>
      <c r="H69" s="400"/>
      <c r="I69" s="400"/>
      <c r="J69" s="400"/>
      <c r="K69" s="400"/>
      <c r="L69" s="400"/>
      <c r="M69" s="400"/>
      <c r="N69" s="400"/>
      <c r="O69" s="400"/>
      <c r="P69" s="400"/>
      <c r="Q69" s="400"/>
      <c r="R69" s="400"/>
      <c r="S69" s="400"/>
      <c r="T69" s="400"/>
      <c r="U69" s="378"/>
      <c r="V69" s="375" t="s">
        <v>103</v>
      </c>
      <c r="W69" s="651" t="s">
        <v>401</v>
      </c>
      <c r="X69" s="1" t="str">
        <f t="shared" si="16"/>
        <v xml:space="preserve"> </v>
      </c>
      <c r="Y69" s="1"/>
      <c r="Z69" s="389" t="str">
        <f t="shared" si="13"/>
        <v/>
      </c>
      <c r="AA69" s="274" t="str">
        <f>IF(Exigences!Y69=Présentation!$L$20,'Plan d''actions'!E60,IF(Exigences!Y69=Présentation!$L$21,'Plan d''actions'!E60,"Pas de plan d'actions à suggérer!"))</f>
        <v>Pas de plan d'actions à suggérer!</v>
      </c>
      <c r="AB69" s="277"/>
      <c r="AC69" s="277"/>
      <c r="AD69" s="277"/>
      <c r="AE69" s="404"/>
      <c r="AF69" s="401"/>
      <c r="AG69" s="401"/>
      <c r="AH69" s="3" t="s">
        <v>61</v>
      </c>
      <c r="AJ69" s="42"/>
      <c r="AL69" s="507">
        <f t="shared" si="17"/>
        <v>44</v>
      </c>
      <c r="AM69" s="504">
        <f t="shared" si="14"/>
        <v>0</v>
      </c>
      <c r="AN69" s="504" t="str">
        <f>IFERROR((VLOOKUP($Y69,Présentation!$L$20:$M$24,2,FALSE)),"")</f>
        <v/>
      </c>
      <c r="AO69" s="502" t="str">
        <f>IFERROR(CHOOSE($AN69,"",Présentation!$D$20,Présentation!$D$21,Présentation!$D$22,Présentation!$D$23,Présentation!$D$24),"")</f>
        <v/>
      </c>
      <c r="AP69" s="516">
        <f t="shared" si="18"/>
        <v>0</v>
      </c>
      <c r="AQ69" s="512">
        <f>IF(AM69="Non applicable",0,1/COUNTIF($AP$62:$AP$70,"=0"))</f>
        <v>0.1111111111111111</v>
      </c>
      <c r="AR69" s="502" t="str">
        <f t="shared" si="19"/>
        <v/>
      </c>
      <c r="AS69" s="502"/>
      <c r="AT69" s="502"/>
      <c r="AU69" s="502"/>
      <c r="AV69" s="502"/>
      <c r="AW69" s="501"/>
      <c r="AX69" s="502"/>
      <c r="AY69" s="501"/>
      <c r="AZ69" s="501"/>
      <c r="BC69" s="510" t="str">
        <f t="shared" si="11"/>
        <v xml:space="preserve"> </v>
      </c>
    </row>
    <row r="70" spans="2:55" ht="111.75" customHeight="1" x14ac:dyDescent="0.25">
      <c r="B70" s="636"/>
      <c r="C70" s="388">
        <f t="shared" si="20"/>
        <v>45</v>
      </c>
      <c r="D70" s="381" t="s">
        <v>313</v>
      </c>
      <c r="E70" s="400"/>
      <c r="F70" s="400"/>
      <c r="G70" s="400"/>
      <c r="H70" s="400"/>
      <c r="I70" s="400"/>
      <c r="J70" s="400"/>
      <c r="K70" s="400"/>
      <c r="L70" s="400"/>
      <c r="M70" s="400"/>
      <c r="N70" s="400"/>
      <c r="O70" s="400"/>
      <c r="P70" s="400"/>
      <c r="Q70" s="400"/>
      <c r="R70" s="400"/>
      <c r="S70" s="400"/>
      <c r="T70" s="400"/>
      <c r="U70" s="279"/>
      <c r="V70" s="375" t="s">
        <v>103</v>
      </c>
      <c r="W70" s="652"/>
      <c r="X70" s="1" t="str">
        <f t="shared" si="16"/>
        <v xml:space="preserve"> </v>
      </c>
      <c r="Y70" s="1"/>
      <c r="Z70" s="389" t="str">
        <f t="shared" si="13"/>
        <v/>
      </c>
      <c r="AA70" s="274" t="str">
        <f>IF(Exigences!Y70=Présentation!$L$20,'Plan d''actions'!E61,IF(Exigences!Y70=Présentation!$L$21,'Plan d''actions'!E61,"Pas de plan d'actions à suggérer!"))</f>
        <v>Pas de plan d'actions à suggérer!</v>
      </c>
      <c r="AB70" s="277"/>
      <c r="AC70" s="277"/>
      <c r="AD70" s="277"/>
      <c r="AE70" s="404"/>
      <c r="AF70" s="401"/>
      <c r="AG70" s="401"/>
      <c r="AH70" s="3" t="s">
        <v>61</v>
      </c>
      <c r="AJ70" s="42"/>
      <c r="AL70" s="507">
        <f t="shared" si="17"/>
        <v>45</v>
      </c>
      <c r="AM70" s="504">
        <f t="shared" si="14"/>
        <v>0</v>
      </c>
      <c r="AN70" s="504" t="str">
        <f>IFERROR((VLOOKUP($Y70,Présentation!$L$20:$M$24,2,FALSE)),"")</f>
        <v/>
      </c>
      <c r="AO70" s="502" t="str">
        <f>IFERROR(CHOOSE($AN70,"",Présentation!$D$20,Présentation!$D$21,Présentation!$D$22,Présentation!$D$23,Présentation!$D$24),"")</f>
        <v/>
      </c>
      <c r="AP70" s="516">
        <f t="shared" si="18"/>
        <v>0</v>
      </c>
      <c r="AQ70" s="512">
        <f>IF(AM70="Non applicable",0,1/COUNTIF($AP$62:$AP$70,"=0"))</f>
        <v>0.1111111111111111</v>
      </c>
      <c r="AR70" s="502" t="str">
        <f t="shared" si="19"/>
        <v/>
      </c>
      <c r="AS70" s="502"/>
      <c r="AT70" s="502"/>
      <c r="AU70" s="502"/>
      <c r="AV70" s="502"/>
      <c r="AW70" s="501"/>
      <c r="AX70" s="502"/>
      <c r="AY70" s="501"/>
      <c r="AZ70" s="501"/>
      <c r="BC70" s="510" t="str">
        <f t="shared" si="11"/>
        <v xml:space="preserve"> </v>
      </c>
    </row>
    <row r="71" spans="2:55" ht="30" customHeight="1" x14ac:dyDescent="0.25">
      <c r="B71" s="224"/>
      <c r="C71" s="224" t="s">
        <v>142</v>
      </c>
      <c r="D71" s="231" t="s">
        <v>148</v>
      </c>
      <c r="E71" s="641"/>
      <c r="F71" s="641"/>
      <c r="G71" s="641"/>
      <c r="H71" s="641"/>
      <c r="I71" s="641"/>
      <c r="J71" s="641"/>
      <c r="K71" s="641"/>
      <c r="L71" s="641"/>
      <c r="M71" s="641"/>
      <c r="N71" s="641"/>
      <c r="O71" s="641"/>
      <c r="P71" s="641"/>
      <c r="Q71" s="641"/>
      <c r="R71" s="641"/>
      <c r="S71" s="641"/>
      <c r="T71" s="641"/>
      <c r="U71" s="172" t="s">
        <v>261</v>
      </c>
      <c r="V71" s="172" t="s">
        <v>104</v>
      </c>
      <c r="W71" s="172" t="s">
        <v>188</v>
      </c>
      <c r="X71" s="172" t="s">
        <v>262</v>
      </c>
      <c r="Y71" s="172" t="str">
        <f>AS71</f>
        <v>Niveau non applicable</v>
      </c>
      <c r="Z71" s="172" t="str">
        <f>IF($Y71="Niveau non applicable","NA",$AR71)</f>
        <v>NA</v>
      </c>
      <c r="AA71" s="172" t="s">
        <v>296</v>
      </c>
      <c r="AB71" s="276" t="s">
        <v>638</v>
      </c>
      <c r="AC71" s="276" t="s">
        <v>605</v>
      </c>
      <c r="AD71" s="276" t="s">
        <v>279</v>
      </c>
      <c r="AE71" s="405" t="s">
        <v>280</v>
      </c>
      <c r="AF71" s="402" t="s">
        <v>281</v>
      </c>
      <c r="AG71" s="276" t="s">
        <v>527</v>
      </c>
      <c r="AH71" s="253" t="s">
        <v>101</v>
      </c>
      <c r="AJ71" s="42"/>
      <c r="AL71" s="507" t="str">
        <f>IF(AM71="Sous-Article","",IF(AL65="",AL63+1,AL65+1))</f>
        <v/>
      </c>
      <c r="AM71" s="511" t="s">
        <v>24</v>
      </c>
      <c r="AN71" s="511"/>
      <c r="AO71" s="501" t="s">
        <v>28</v>
      </c>
      <c r="AP71" s="501"/>
      <c r="AQ71" s="512">
        <f>SUM(AQ72:AQ73)</f>
        <v>1</v>
      </c>
      <c r="AR71" s="502">
        <f>IFERROR(SUM(AR72:AR73),"")</f>
        <v>0</v>
      </c>
      <c r="AS71" s="505" t="str">
        <f>IFERROR(IF(AR71=Présentation!$F$24,Présentation!$H$24,IF(AR71&lt;=Présentation!$F$20,Présentation!$G$20,IF(AR71&lt;=Présentation!$F$21,Présentation!$G$21,IF(AR71&lt;=Présentation!$F$22,Présentation!$G$22,Présentation!$G$23)))),"")</f>
        <v>Niveau non applicable</v>
      </c>
      <c r="AT71" s="513">
        <f>IF(AS71="Niveau Non applicable",1,0)</f>
        <v>1</v>
      </c>
      <c r="AU71" s="502">
        <f>IF(AS71="Niveau Non applicable",0,1/COUNTIF($AT$61:$AT$85,"=0"))</f>
        <v>0</v>
      </c>
      <c r="AV71" s="502">
        <f>AU71*AR71</f>
        <v>0</v>
      </c>
      <c r="AW71" s="501"/>
      <c r="AX71" s="502"/>
      <c r="AY71" s="501"/>
      <c r="AZ71" s="501"/>
      <c r="BC71" s="510" t="str">
        <f t="shared" si="11"/>
        <v xml:space="preserve"> </v>
      </c>
    </row>
    <row r="72" spans="2:55" ht="37.5" customHeight="1" x14ac:dyDescent="0.25">
      <c r="B72" s="635" t="s">
        <v>258</v>
      </c>
      <c r="C72" s="388">
        <f>IF(ISERROR(C71+1),C70+1,C71+1)</f>
        <v>46</v>
      </c>
      <c r="D72" s="274" t="s">
        <v>402</v>
      </c>
      <c r="E72" s="642"/>
      <c r="F72" s="642"/>
      <c r="G72" s="642"/>
      <c r="H72" s="642"/>
      <c r="I72" s="642"/>
      <c r="J72" s="642"/>
      <c r="K72" s="642"/>
      <c r="L72" s="642"/>
      <c r="M72" s="642"/>
      <c r="N72" s="642"/>
      <c r="O72" s="642"/>
      <c r="P72" s="642"/>
      <c r="Q72" s="642"/>
      <c r="R72" s="642"/>
      <c r="S72" s="642"/>
      <c r="T72" s="642"/>
      <c r="U72" s="1"/>
      <c r="V72" s="375" t="s">
        <v>103</v>
      </c>
      <c r="W72" s="638" t="s">
        <v>310</v>
      </c>
      <c r="X72" s="1" t="str">
        <f t="shared" si="16"/>
        <v xml:space="preserve"> </v>
      </c>
      <c r="Y72" s="1"/>
      <c r="Z72" s="389" t="str">
        <f>IF($U72="Non","NA",$AO72)</f>
        <v/>
      </c>
      <c r="AA72" s="274" t="str">
        <f>IF(Exigences!Y72=Présentation!$L$20,'Plan d''actions'!E63,IF(Exigences!Y72=Présentation!$L$21,'Plan d''actions'!E63,"Pas de plan d'actions à suggérer!"))</f>
        <v>Pas de plan d'actions à suggérer!</v>
      </c>
      <c r="AB72" s="277"/>
      <c r="AC72" s="277"/>
      <c r="AD72" s="277"/>
      <c r="AE72" s="404"/>
      <c r="AF72" s="401"/>
      <c r="AG72" s="401"/>
      <c r="AH72" s="3" t="s">
        <v>61</v>
      </c>
      <c r="AJ72" s="42"/>
      <c r="AL72" s="507">
        <f>IF(AM72="Sous-Article","",IF(AL71="",AL70+1,AL71+1))</f>
        <v>46</v>
      </c>
      <c r="AM72" s="504">
        <f>Y72</f>
        <v>0</v>
      </c>
      <c r="AN72" s="504" t="str">
        <f>IFERROR((VLOOKUP($Y72,Présentation!$L$20:$M$24,2,FALSE)),"")</f>
        <v/>
      </c>
      <c r="AO72" s="502" t="str">
        <f>IFERROR(CHOOSE($AN72,"",Présentation!$D$20,Présentation!$D$21,Présentation!$D$22,Présentation!$D$23,Présentation!$D$24),"")</f>
        <v/>
      </c>
      <c r="AP72" s="516">
        <f>IF(AM72="Non applicable",1,0)</f>
        <v>0</v>
      </c>
      <c r="AQ72" s="512">
        <f>IF(AM72="Non applicable",0,1/COUNTIF($AP$72:$AP$73,"=0"))</f>
        <v>0.5</v>
      </c>
      <c r="AR72" s="502" t="str">
        <f>IFERROR(AO72*AQ72,"")</f>
        <v/>
      </c>
      <c r="AS72" s="502"/>
      <c r="AT72" s="502"/>
      <c r="AU72" s="502"/>
      <c r="AV72" s="502"/>
      <c r="AW72" s="501"/>
      <c r="AX72" s="502"/>
      <c r="AY72" s="501"/>
      <c r="AZ72" s="501"/>
      <c r="BC72" s="510" t="str">
        <f t="shared" si="11"/>
        <v xml:space="preserve"> </v>
      </c>
    </row>
    <row r="73" spans="2:55" ht="50.25" customHeight="1" x14ac:dyDescent="0.25">
      <c r="B73" s="644"/>
      <c r="C73" s="388">
        <f>IF(ISERROR(C72+1),C71+1,C72+1)</f>
        <v>47</v>
      </c>
      <c r="D73" s="274" t="s">
        <v>304</v>
      </c>
      <c r="E73" s="642"/>
      <c r="F73" s="642"/>
      <c r="G73" s="642"/>
      <c r="H73" s="642"/>
      <c r="I73" s="642"/>
      <c r="J73" s="642"/>
      <c r="K73" s="642"/>
      <c r="L73" s="642"/>
      <c r="M73" s="642"/>
      <c r="N73" s="642"/>
      <c r="O73" s="642"/>
      <c r="P73" s="642"/>
      <c r="Q73" s="642"/>
      <c r="R73" s="642"/>
      <c r="S73" s="642"/>
      <c r="T73" s="642"/>
      <c r="U73" s="1"/>
      <c r="V73" s="375" t="s">
        <v>103</v>
      </c>
      <c r="W73" s="649"/>
      <c r="X73" s="1" t="str">
        <f t="shared" si="16"/>
        <v xml:space="preserve"> </v>
      </c>
      <c r="Y73" s="1"/>
      <c r="Z73" s="389" t="str">
        <f>IF($U73="Non","NA",$AO73)</f>
        <v/>
      </c>
      <c r="AA73" s="274" t="str">
        <f>IF(Exigences!Y73=Présentation!$L$20,'Plan d''actions'!E64,IF(Exigences!Y73=Présentation!$L$21,'Plan d''actions'!E64,"Pas de plan d'actions à suggérer!"))</f>
        <v>Pas de plan d'actions à suggérer!</v>
      </c>
      <c r="AB73" s="277"/>
      <c r="AC73" s="277"/>
      <c r="AD73" s="277"/>
      <c r="AE73" s="404"/>
      <c r="AF73" s="401"/>
      <c r="AG73" s="401"/>
      <c r="AH73" s="3" t="s">
        <v>61</v>
      </c>
      <c r="AJ73" s="42"/>
      <c r="AL73" s="507">
        <f>IF(AM73="Sous-Article","",IF(AL72="",AL71+1,AL72+1))</f>
        <v>47</v>
      </c>
      <c r="AM73" s="504">
        <f>Y73</f>
        <v>0</v>
      </c>
      <c r="AN73" s="504" t="str">
        <f>IFERROR((VLOOKUP($Y73,Présentation!$L$20:$M$24,2,FALSE)),"")</f>
        <v/>
      </c>
      <c r="AO73" s="502" t="str">
        <f>IFERROR(CHOOSE($AN73,"",Présentation!$D$20,Présentation!$D$21,Présentation!$D$22,Présentation!$D$23,Présentation!$D$24),"")</f>
        <v/>
      </c>
      <c r="AP73" s="516">
        <f>IF(AM73="Non applicable",1,0)</f>
        <v>0</v>
      </c>
      <c r="AQ73" s="512">
        <f>IF(AM73="Non applicable",0,1/COUNTIF($AP$72:$AP$73,"=0"))</f>
        <v>0.5</v>
      </c>
      <c r="AR73" s="502" t="str">
        <f>IFERROR(AO73*AQ73,"")</f>
        <v/>
      </c>
      <c r="AS73" s="502"/>
      <c r="AT73" s="502"/>
      <c r="AU73" s="502"/>
      <c r="AV73" s="502"/>
      <c r="AW73" s="501"/>
      <c r="AX73" s="502"/>
      <c r="AY73" s="501"/>
      <c r="AZ73" s="501"/>
      <c r="BC73" s="510" t="str">
        <f t="shared" si="11"/>
        <v xml:space="preserve"> </v>
      </c>
    </row>
    <row r="74" spans="2:55" ht="30" customHeight="1" x14ac:dyDescent="0.25">
      <c r="B74" s="224"/>
      <c r="C74" s="224" t="s">
        <v>143</v>
      </c>
      <c r="D74" s="231" t="s">
        <v>144</v>
      </c>
      <c r="E74" s="641"/>
      <c r="F74" s="641"/>
      <c r="G74" s="641"/>
      <c r="H74" s="641"/>
      <c r="I74" s="641"/>
      <c r="J74" s="641"/>
      <c r="K74" s="641"/>
      <c r="L74" s="641"/>
      <c r="M74" s="641"/>
      <c r="N74" s="641"/>
      <c r="O74" s="641"/>
      <c r="P74" s="641"/>
      <c r="Q74" s="641"/>
      <c r="R74" s="641"/>
      <c r="S74" s="641"/>
      <c r="T74" s="641"/>
      <c r="U74" s="172" t="s">
        <v>261</v>
      </c>
      <c r="V74" s="172" t="s">
        <v>104</v>
      </c>
      <c r="W74" s="172" t="s">
        <v>188</v>
      </c>
      <c r="X74" s="172" t="s">
        <v>262</v>
      </c>
      <c r="Y74" s="172" t="str">
        <f>AS74</f>
        <v>Niveau non applicable</v>
      </c>
      <c r="Z74" s="172" t="str">
        <f>IF($Y74="Niveau non applicable","NA",$AR74)</f>
        <v>NA</v>
      </c>
      <c r="AA74" s="172" t="s">
        <v>296</v>
      </c>
      <c r="AB74" s="276" t="s">
        <v>638</v>
      </c>
      <c r="AC74" s="276" t="s">
        <v>605</v>
      </c>
      <c r="AD74" s="276" t="s">
        <v>279</v>
      </c>
      <c r="AE74" s="405" t="s">
        <v>280</v>
      </c>
      <c r="AF74" s="402" t="s">
        <v>281</v>
      </c>
      <c r="AG74" s="276" t="s">
        <v>527</v>
      </c>
      <c r="AH74" s="253" t="s">
        <v>101</v>
      </c>
      <c r="AJ74" s="42"/>
      <c r="AL74" s="507" t="str">
        <f>IF(AM74="Sous-Article","",IF(#REF!="",AL73+1,#REF!+1))</f>
        <v/>
      </c>
      <c r="AM74" s="511" t="s">
        <v>24</v>
      </c>
      <c r="AN74" s="511"/>
      <c r="AO74" s="501" t="s">
        <v>28</v>
      </c>
      <c r="AP74" s="501"/>
      <c r="AQ74" s="512">
        <f>SUM(AQ75:AQ76)</f>
        <v>1</v>
      </c>
      <c r="AR74" s="502">
        <f>IFERROR(SUM(AR75:AR76),"")</f>
        <v>0</v>
      </c>
      <c r="AS74" s="505" t="str">
        <f>IFERROR(IF(AR74=Présentation!$F$24,Présentation!$H$24,IF(AR74&lt;=Présentation!$F$20,Présentation!$G$20,IF(AR74&lt;=Présentation!$F$21,Présentation!$G$21,IF(AR74&lt;=Présentation!$F$22,Présentation!$G$22,Présentation!$G$23)))),"")</f>
        <v>Niveau non applicable</v>
      </c>
      <c r="AT74" s="513">
        <f>IF(AS74="Niveau Non applicable",1,0)</f>
        <v>1</v>
      </c>
      <c r="AU74" s="502">
        <f>IF(AS74="Niveau Non applicable",0,1/COUNTIF($AT$61:$AT$85,"=0"))</f>
        <v>0</v>
      </c>
      <c r="AV74" s="502">
        <f>AU74*AR74</f>
        <v>0</v>
      </c>
      <c r="AW74" s="501"/>
      <c r="AX74" s="502"/>
      <c r="AY74" s="501"/>
      <c r="AZ74" s="501"/>
      <c r="BC74" s="510" t="str">
        <f t="shared" si="11"/>
        <v xml:space="preserve"> </v>
      </c>
    </row>
    <row r="75" spans="2:55" ht="56.25" x14ac:dyDescent="0.25">
      <c r="B75" s="291" t="s">
        <v>258</v>
      </c>
      <c r="C75" s="388">
        <f>IF(ISERROR(C74+1),C73+1,C74+1)</f>
        <v>48</v>
      </c>
      <c r="D75" s="274" t="s">
        <v>437</v>
      </c>
      <c r="E75" s="642"/>
      <c r="F75" s="642"/>
      <c r="G75" s="642"/>
      <c r="H75" s="642"/>
      <c r="I75" s="642"/>
      <c r="J75" s="642"/>
      <c r="K75" s="642"/>
      <c r="L75" s="642"/>
      <c r="M75" s="642"/>
      <c r="N75" s="642"/>
      <c r="O75" s="642"/>
      <c r="P75" s="642"/>
      <c r="Q75" s="642"/>
      <c r="R75" s="642"/>
      <c r="S75" s="642"/>
      <c r="T75" s="642"/>
      <c r="U75" s="1"/>
      <c r="V75" s="375" t="s">
        <v>103</v>
      </c>
      <c r="W75" s="280" t="s">
        <v>308</v>
      </c>
      <c r="X75" s="1" t="str">
        <f t="shared" si="16"/>
        <v xml:space="preserve"> </v>
      </c>
      <c r="Y75" s="1"/>
      <c r="Z75" s="389" t="str">
        <f>IF($U75="Non","NA",$AO75)</f>
        <v/>
      </c>
      <c r="AA75" s="274" t="str">
        <f>IF(Exigences!Y75=Présentation!$L$20,'Plan d''actions'!E66,IF(Exigences!Y75=Présentation!$L$21,'Plan d''actions'!E66,"Pas de plan d'actions à suggérer!"))</f>
        <v>Pas de plan d'actions à suggérer!</v>
      </c>
      <c r="AB75" s="277"/>
      <c r="AC75" s="277"/>
      <c r="AD75" s="277"/>
      <c r="AE75" s="404"/>
      <c r="AF75" s="401"/>
      <c r="AG75" s="401"/>
      <c r="AH75" s="3" t="s">
        <v>61</v>
      </c>
      <c r="AJ75" s="42"/>
      <c r="AL75" s="507">
        <f>IF(AM75="Sous-Article","",IF(AL74="",AL73+1,AL74+1))</f>
        <v>48</v>
      </c>
      <c r="AM75" s="504">
        <f>Y75</f>
        <v>0</v>
      </c>
      <c r="AN75" s="504" t="str">
        <f>IFERROR((VLOOKUP($Y75,Présentation!$L$20:$M$24,2,FALSE)),"")</f>
        <v/>
      </c>
      <c r="AO75" s="502" t="str">
        <f>IFERROR(CHOOSE($AN75,"",Présentation!$D$20,Présentation!$D$21,Présentation!$D$22,Présentation!$D$23,Présentation!$D$24),"")</f>
        <v/>
      </c>
      <c r="AP75" s="516">
        <f>IF(AM75="Non applicable",1,0)</f>
        <v>0</v>
      </c>
      <c r="AQ75" s="512">
        <f>IF(AM75="Non applicable",0,1/COUNTIF($AP$75:$AP$76,"=0"))</f>
        <v>0.5</v>
      </c>
      <c r="AR75" s="502" t="str">
        <f>IFERROR(AO75*AQ75,"")</f>
        <v/>
      </c>
      <c r="AS75" s="502"/>
      <c r="AT75" s="502"/>
      <c r="AU75" s="502"/>
      <c r="AV75" s="502"/>
      <c r="AW75" s="501"/>
      <c r="AX75" s="502"/>
      <c r="AY75" s="501"/>
      <c r="AZ75" s="501"/>
      <c r="BC75" s="510" t="str">
        <f t="shared" si="11"/>
        <v xml:space="preserve"> </v>
      </c>
    </row>
    <row r="76" spans="2:55" ht="30" customHeight="1" x14ac:dyDescent="0.25">
      <c r="B76" s="291" t="s">
        <v>257</v>
      </c>
      <c r="C76" s="388">
        <f>IF(ISERROR(#REF!+1),C75+1,#REF!+1)</f>
        <v>49</v>
      </c>
      <c r="D76" s="382" t="s">
        <v>314</v>
      </c>
      <c r="E76" s="643"/>
      <c r="F76" s="643"/>
      <c r="G76" s="643"/>
      <c r="H76" s="643"/>
      <c r="I76" s="643"/>
      <c r="J76" s="643"/>
      <c r="K76" s="643"/>
      <c r="L76" s="643"/>
      <c r="M76" s="643"/>
      <c r="N76" s="643"/>
      <c r="O76" s="643"/>
      <c r="P76" s="643"/>
      <c r="Q76" s="643"/>
      <c r="R76" s="643"/>
      <c r="S76" s="643"/>
      <c r="T76" s="643"/>
      <c r="U76" s="1"/>
      <c r="V76" s="375" t="s">
        <v>103</v>
      </c>
      <c r="W76" s="267" t="s">
        <v>309</v>
      </c>
      <c r="X76" s="1" t="str">
        <f t="shared" si="16"/>
        <v xml:space="preserve"> </v>
      </c>
      <c r="Y76" s="1"/>
      <c r="Z76" s="389" t="str">
        <f>IF($U76="Non","NA",$AO76)</f>
        <v/>
      </c>
      <c r="AA76" s="274" t="str">
        <f>IF(Exigences!Y76=Présentation!$L$20,'Plan d''actions'!E67,IF(Exigences!Y76=Présentation!$L$21,'Plan d''actions'!E67,"Pas de plan d'actions à suggérer!"))</f>
        <v>Pas de plan d'actions à suggérer!</v>
      </c>
      <c r="AB76" s="277"/>
      <c r="AC76" s="277"/>
      <c r="AD76" s="277"/>
      <c r="AE76" s="404"/>
      <c r="AF76" s="401"/>
      <c r="AG76" s="401"/>
      <c r="AH76" s="3" t="s">
        <v>61</v>
      </c>
      <c r="AJ76" s="42"/>
      <c r="AL76" s="507">
        <f>IF(AM76="Sous-Article","",IF(AL75="",AL73+1,AL75+1))</f>
        <v>49</v>
      </c>
      <c r="AM76" s="504">
        <f>Y76</f>
        <v>0</v>
      </c>
      <c r="AN76" s="504" t="str">
        <f>IFERROR((VLOOKUP($Y76,Présentation!$L$20:$M$24,2,FALSE)),"")</f>
        <v/>
      </c>
      <c r="AO76" s="502" t="str">
        <f>IFERROR(CHOOSE($AN76,"",Présentation!$D$20,Présentation!$D$21,Présentation!$D$22,Présentation!$D$23,Présentation!$D$24),"")</f>
        <v/>
      </c>
      <c r="AP76" s="516">
        <f>IF(AM76="Non applicable",1,0)</f>
        <v>0</v>
      </c>
      <c r="AQ76" s="512">
        <f>IF(AM76="Non applicable",0,1/COUNTIF($AP$75:$AP$76,"=0"))</f>
        <v>0.5</v>
      </c>
      <c r="AR76" s="502" t="str">
        <f>IFERROR(AO76*AQ76,"")</f>
        <v/>
      </c>
      <c r="AS76" s="502"/>
      <c r="AT76" s="502"/>
      <c r="AU76" s="502"/>
      <c r="AV76" s="502"/>
      <c r="AW76" s="501"/>
      <c r="AX76" s="502"/>
      <c r="AY76" s="501"/>
      <c r="AZ76" s="501"/>
      <c r="BC76" s="510" t="str">
        <f t="shared" si="11"/>
        <v xml:space="preserve"> </v>
      </c>
    </row>
    <row r="77" spans="2:55" ht="30" customHeight="1" x14ac:dyDescent="0.25">
      <c r="B77" s="224"/>
      <c r="C77" s="224" t="s">
        <v>147</v>
      </c>
      <c r="D77" s="231" t="s">
        <v>145</v>
      </c>
      <c r="E77" s="641"/>
      <c r="F77" s="641"/>
      <c r="G77" s="641"/>
      <c r="H77" s="641"/>
      <c r="I77" s="641"/>
      <c r="J77" s="641"/>
      <c r="K77" s="641"/>
      <c r="L77" s="641"/>
      <c r="M77" s="641"/>
      <c r="N77" s="641"/>
      <c r="O77" s="641"/>
      <c r="P77" s="641"/>
      <c r="Q77" s="641"/>
      <c r="R77" s="641"/>
      <c r="S77" s="641"/>
      <c r="T77" s="641"/>
      <c r="U77" s="172" t="s">
        <v>261</v>
      </c>
      <c r="V77" s="172" t="s">
        <v>104</v>
      </c>
      <c r="W77" s="172" t="s">
        <v>188</v>
      </c>
      <c r="X77" s="172" t="s">
        <v>262</v>
      </c>
      <c r="Y77" s="172" t="str">
        <f>AS77</f>
        <v>Niveau non applicable</v>
      </c>
      <c r="Z77" s="172" t="str">
        <f>IF($Y77="Niveau non applicable","NA",$AR77)</f>
        <v>NA</v>
      </c>
      <c r="AA77" s="172" t="s">
        <v>296</v>
      </c>
      <c r="AB77" s="276" t="s">
        <v>638</v>
      </c>
      <c r="AC77" s="276" t="s">
        <v>605</v>
      </c>
      <c r="AD77" s="276" t="s">
        <v>279</v>
      </c>
      <c r="AE77" s="405" t="s">
        <v>280</v>
      </c>
      <c r="AF77" s="402" t="s">
        <v>281</v>
      </c>
      <c r="AG77" s="276" t="s">
        <v>527</v>
      </c>
      <c r="AH77" s="253" t="s">
        <v>101</v>
      </c>
      <c r="AJ77" s="42"/>
      <c r="AL77" s="507" t="str">
        <f>IF(AM77="Sous-Article","",IF(AL76="",#REF!+1,AL76+1))</f>
        <v/>
      </c>
      <c r="AM77" s="511" t="s">
        <v>24</v>
      </c>
      <c r="AN77" s="511"/>
      <c r="AO77" s="501" t="s">
        <v>28</v>
      </c>
      <c r="AP77" s="501"/>
      <c r="AQ77" s="512">
        <f>SUM(AQ78:AQ79)</f>
        <v>1</v>
      </c>
      <c r="AR77" s="502">
        <f>IFERROR(SUM(AR78:AR79),"")</f>
        <v>0</v>
      </c>
      <c r="AS77" s="505" t="str">
        <f>IFERROR(IF(AR77=Présentation!$F$24,Présentation!$H$24,IF(AR77&lt;=Présentation!$F$20,Présentation!$G$20,IF(AR77&lt;=Présentation!$F$21,Présentation!$G$21,IF(AR77&lt;=Présentation!$F$22,Présentation!$G$22,Présentation!$G$23)))),"")</f>
        <v>Niveau non applicable</v>
      </c>
      <c r="AT77" s="513">
        <f>IF(AS77="Niveau Non applicable",1,0)</f>
        <v>1</v>
      </c>
      <c r="AU77" s="502">
        <f>IF(AS77="Niveau Non applicable",0,1/COUNTIF($AT$61:$AT$85,"=0"))</f>
        <v>0</v>
      </c>
      <c r="AV77" s="502">
        <f>AU77*AR77</f>
        <v>0</v>
      </c>
      <c r="AW77" s="501"/>
      <c r="AX77" s="502"/>
      <c r="AY77" s="501"/>
      <c r="AZ77" s="501"/>
      <c r="BC77" s="510" t="str">
        <f t="shared" ref="BC77:BC108" si="21">IF(U77="non","NA"," ")</f>
        <v xml:space="preserve"> </v>
      </c>
    </row>
    <row r="78" spans="2:55" ht="36" customHeight="1" x14ac:dyDescent="0.25">
      <c r="B78" s="635" t="s">
        <v>258</v>
      </c>
      <c r="C78" s="388">
        <f>IF(ISERROR(C76+1),C75+1,C76+1)</f>
        <v>50</v>
      </c>
      <c r="D78" s="381" t="s">
        <v>438</v>
      </c>
      <c r="E78" s="642"/>
      <c r="F78" s="642"/>
      <c r="G78" s="642"/>
      <c r="H78" s="642"/>
      <c r="I78" s="642"/>
      <c r="J78" s="642"/>
      <c r="K78" s="642"/>
      <c r="L78" s="642"/>
      <c r="M78" s="642"/>
      <c r="N78" s="642"/>
      <c r="O78" s="642"/>
      <c r="P78" s="642"/>
      <c r="Q78" s="642"/>
      <c r="R78" s="642"/>
      <c r="S78" s="642"/>
      <c r="T78" s="642"/>
      <c r="U78" s="378"/>
      <c r="V78" s="379" t="s">
        <v>103</v>
      </c>
      <c r="W78" s="638" t="s">
        <v>307</v>
      </c>
      <c r="X78" s="1" t="str">
        <f t="shared" si="16"/>
        <v xml:space="preserve"> </v>
      </c>
      <c r="Y78" s="1"/>
      <c r="Z78" s="389" t="str">
        <f>IF($U78="Non","NA",$AO78)</f>
        <v/>
      </c>
      <c r="AA78" s="274" t="str">
        <f>IF(Exigences!Y78=Présentation!$L$20,'Plan d''actions'!E69,IF(Exigences!Y78=Présentation!$L$21,'Plan d''actions'!E69,"Pas de plan d'actions à suggérer!"))</f>
        <v>Pas de plan d'actions à suggérer!</v>
      </c>
      <c r="AB78" s="277"/>
      <c r="AC78" s="277"/>
      <c r="AD78" s="277"/>
      <c r="AE78" s="404"/>
      <c r="AF78" s="401"/>
      <c r="AG78" s="401"/>
      <c r="AH78" s="3" t="s">
        <v>61</v>
      </c>
      <c r="AJ78" s="42"/>
      <c r="AL78" s="507">
        <f>IF(AM78="Sous-Article","",IF(AL76="",AL75+1,AL76+1))</f>
        <v>50</v>
      </c>
      <c r="AM78" s="504">
        <f>Y78</f>
        <v>0</v>
      </c>
      <c r="AN78" s="504" t="str">
        <f>IFERROR((VLOOKUP($Y78,Présentation!$L$20:$M$24,2,FALSE)),"")</f>
        <v/>
      </c>
      <c r="AO78" s="502" t="str">
        <f>IFERROR(CHOOSE($AN78,"",Présentation!$D$20,Présentation!$D$21,Présentation!$D$22,Présentation!$D$23,Présentation!$D$24),"")</f>
        <v/>
      </c>
      <c r="AP78" s="516">
        <f>IF(AM78="Non applicable",1,0)</f>
        <v>0</v>
      </c>
      <c r="AQ78" s="512">
        <f>IF(AM78="Non applicable",0,1/COUNTIF($AP$78:$AP$79,"=0"))</f>
        <v>0.5</v>
      </c>
      <c r="AR78" s="502" t="str">
        <f>IFERROR(AO78*AQ78,"")</f>
        <v/>
      </c>
      <c r="AS78" s="502"/>
      <c r="AT78" s="502"/>
      <c r="AU78" s="502"/>
      <c r="AV78" s="502"/>
      <c r="AW78" s="501"/>
      <c r="AX78" s="502"/>
      <c r="AY78" s="501"/>
      <c r="AZ78" s="501"/>
      <c r="BC78" s="510" t="str">
        <f t="shared" si="21"/>
        <v xml:space="preserve"> </v>
      </c>
    </row>
    <row r="79" spans="2:55" ht="56.25" customHeight="1" x14ac:dyDescent="0.25">
      <c r="B79" s="636"/>
      <c r="C79" s="388">
        <f>IF(ISERROR(C78+1),C77+1,C78+1)</f>
        <v>51</v>
      </c>
      <c r="D79" s="274" t="s">
        <v>403</v>
      </c>
      <c r="E79" s="642"/>
      <c r="F79" s="642"/>
      <c r="G79" s="642"/>
      <c r="H79" s="642"/>
      <c r="I79" s="642"/>
      <c r="J79" s="642"/>
      <c r="K79" s="642"/>
      <c r="L79" s="642"/>
      <c r="M79" s="642"/>
      <c r="N79" s="642"/>
      <c r="O79" s="642"/>
      <c r="P79" s="642"/>
      <c r="Q79" s="642"/>
      <c r="R79" s="642"/>
      <c r="S79" s="642"/>
      <c r="T79" s="642"/>
      <c r="U79" s="1"/>
      <c r="V79" s="375" t="s">
        <v>103</v>
      </c>
      <c r="W79" s="649"/>
      <c r="X79" s="1" t="str">
        <f t="shared" si="16"/>
        <v xml:space="preserve"> </v>
      </c>
      <c r="Y79" s="1"/>
      <c r="Z79" s="389" t="str">
        <f>IF($U79="Non","NA",$AO79)</f>
        <v/>
      </c>
      <c r="AA79" s="274" t="str">
        <f>IF(Exigences!Y79=Présentation!$L$20,'Plan d''actions'!E70,IF(Exigences!Y79=Présentation!$L$21,'Plan d''actions'!E70,"Pas de plan d'actions à suggérer!"))</f>
        <v>Pas de plan d'actions à suggérer!</v>
      </c>
      <c r="AB79" s="277"/>
      <c r="AC79" s="277"/>
      <c r="AD79" s="277"/>
      <c r="AE79" s="404"/>
      <c r="AF79" s="401"/>
      <c r="AG79" s="401"/>
      <c r="AH79" s="3" t="s">
        <v>61</v>
      </c>
      <c r="AJ79" s="42"/>
      <c r="AL79" s="507">
        <f>IF(AM79="Sous-Article","",IF(AL78="",AL77+1,AL78+1))</f>
        <v>51</v>
      </c>
      <c r="AM79" s="504">
        <f>Y79</f>
        <v>0</v>
      </c>
      <c r="AN79" s="504" t="str">
        <f>IFERROR((VLOOKUP($Y79,Présentation!$L$20:$M$24,2,FALSE)),"")</f>
        <v/>
      </c>
      <c r="AO79" s="502" t="str">
        <f>IFERROR(CHOOSE($AN79,"",Présentation!$D$20,Présentation!$D$21,Présentation!$D$22,Présentation!$D$23,Présentation!$D$24),"")</f>
        <v/>
      </c>
      <c r="AP79" s="516">
        <f>IF(AM79="Non applicable",1,0)</f>
        <v>0</v>
      </c>
      <c r="AQ79" s="512">
        <f>IF(AM79="Non applicable",0,1/COUNTIF($AP$78:$AP$79,"=0"))</f>
        <v>0.5</v>
      </c>
      <c r="AR79" s="502" t="str">
        <f>IFERROR(AO79*AQ79,"")</f>
        <v/>
      </c>
      <c r="AS79" s="502"/>
      <c r="AT79" s="502"/>
      <c r="AU79" s="502"/>
      <c r="AV79" s="502"/>
      <c r="AW79" s="501"/>
      <c r="AX79" s="502"/>
      <c r="AY79" s="501"/>
      <c r="AZ79" s="501"/>
      <c r="BC79" s="510" t="str">
        <f t="shared" si="21"/>
        <v xml:space="preserve"> </v>
      </c>
    </row>
    <row r="80" spans="2:55" ht="30" customHeight="1" x14ac:dyDescent="0.25">
      <c r="B80" s="224"/>
      <c r="C80" s="224" t="s">
        <v>146</v>
      </c>
      <c r="D80" s="231" t="s">
        <v>151</v>
      </c>
      <c r="E80" s="641"/>
      <c r="F80" s="641"/>
      <c r="G80" s="641"/>
      <c r="H80" s="641"/>
      <c r="I80" s="641"/>
      <c r="J80" s="641"/>
      <c r="K80" s="641"/>
      <c r="L80" s="641"/>
      <c r="M80" s="641"/>
      <c r="N80" s="641"/>
      <c r="O80" s="641"/>
      <c r="P80" s="641"/>
      <c r="Q80" s="641"/>
      <c r="R80" s="641"/>
      <c r="S80" s="641"/>
      <c r="T80" s="641"/>
      <c r="U80" s="172" t="s">
        <v>261</v>
      </c>
      <c r="V80" s="172" t="s">
        <v>104</v>
      </c>
      <c r="W80" s="172" t="s">
        <v>188</v>
      </c>
      <c r="X80" s="172" t="s">
        <v>262</v>
      </c>
      <c r="Y80" s="172" t="str">
        <f>AS80</f>
        <v>Niveau non applicable</v>
      </c>
      <c r="Z80" s="172" t="str">
        <f>IF($Y80="Niveau non applicable","NA",$AR80)</f>
        <v>NA</v>
      </c>
      <c r="AA80" s="172" t="s">
        <v>296</v>
      </c>
      <c r="AB80" s="276" t="s">
        <v>638</v>
      </c>
      <c r="AC80" s="276" t="s">
        <v>605</v>
      </c>
      <c r="AD80" s="276" t="s">
        <v>279</v>
      </c>
      <c r="AE80" s="405" t="s">
        <v>280</v>
      </c>
      <c r="AF80" s="402" t="s">
        <v>281</v>
      </c>
      <c r="AG80" s="276" t="s">
        <v>527</v>
      </c>
      <c r="AH80" s="253" t="s">
        <v>101</v>
      </c>
      <c r="AJ80" s="42"/>
      <c r="AL80" s="507" t="str">
        <f>IF(AM80="Sous-Article","",IF(#REF!="",#REF!+1,#REF!+1))</f>
        <v/>
      </c>
      <c r="AM80" s="511" t="s">
        <v>24</v>
      </c>
      <c r="AN80" s="511"/>
      <c r="AO80" s="501" t="s">
        <v>28</v>
      </c>
      <c r="AP80" s="501"/>
      <c r="AQ80" s="512">
        <f>SUM(AQ81:AQ85)</f>
        <v>1</v>
      </c>
      <c r="AR80" s="502">
        <f>IFERROR(SUM(AR81:AR85),"")</f>
        <v>0</v>
      </c>
      <c r="AS80" s="505" t="str">
        <f>IFERROR(IF(AR80=Présentation!$F$24,Présentation!$H$24,IF(AR80&lt;=Présentation!$F$20,Présentation!$G$20,IF(AR80&lt;=Présentation!$F$21,Présentation!$G$21,IF(AR80&lt;=Présentation!$F$22,Présentation!$G$22,Présentation!$G$23)))),"")</f>
        <v>Niveau non applicable</v>
      </c>
      <c r="AT80" s="513">
        <f>IF(AS80="Niveau Non applicable",1,0)</f>
        <v>1</v>
      </c>
      <c r="AU80" s="502">
        <f>IF(AS80="Niveau Non applicable",0,1/COUNTIF($AT$61:$AT$85,"=0"))</f>
        <v>0</v>
      </c>
      <c r="AV80" s="502">
        <f>AU80*AR80</f>
        <v>0</v>
      </c>
      <c r="AW80" s="501"/>
      <c r="AX80" s="502"/>
      <c r="AY80" s="501"/>
      <c r="AZ80" s="501"/>
      <c r="BC80" s="510" t="str">
        <f t="shared" si="21"/>
        <v xml:space="preserve"> </v>
      </c>
    </row>
    <row r="81" spans="2:83" ht="321.75" customHeight="1" x14ac:dyDescent="0.25">
      <c r="B81" s="635" t="s">
        <v>258</v>
      </c>
      <c r="C81" s="388">
        <f>IF(ISERROR(C80+1),C79+1,C80+1)</f>
        <v>52</v>
      </c>
      <c r="D81" s="274" t="s">
        <v>355</v>
      </c>
      <c r="E81" s="642"/>
      <c r="F81" s="642"/>
      <c r="G81" s="642"/>
      <c r="H81" s="642"/>
      <c r="I81" s="642"/>
      <c r="J81" s="642"/>
      <c r="K81" s="642"/>
      <c r="L81" s="642"/>
      <c r="M81" s="642"/>
      <c r="N81" s="642"/>
      <c r="O81" s="642"/>
      <c r="P81" s="642"/>
      <c r="Q81" s="642"/>
      <c r="R81" s="642"/>
      <c r="S81" s="642"/>
      <c r="T81" s="642"/>
      <c r="U81" s="1"/>
      <c r="V81" s="375" t="s">
        <v>103</v>
      </c>
      <c r="W81" s="290" t="s">
        <v>356</v>
      </c>
      <c r="X81" s="1" t="str">
        <f t="shared" si="16"/>
        <v xml:space="preserve"> </v>
      </c>
      <c r="Y81" s="1"/>
      <c r="Z81" s="389" t="str">
        <f>IF($U81="Non","NA",$AO81)</f>
        <v/>
      </c>
      <c r="AA81" s="274" t="str">
        <f>IF(Exigences!Y81=Présentation!$L$20,'Plan d''actions'!E72,IF(Exigences!Y81=Présentation!$L$21,'Plan d''actions'!E72,"Pas de plan d'actions à suggérer!"))</f>
        <v>Pas de plan d'actions à suggérer!</v>
      </c>
      <c r="AB81" s="277"/>
      <c r="AC81" s="277"/>
      <c r="AD81" s="277"/>
      <c r="AE81" s="404"/>
      <c r="AF81" s="401"/>
      <c r="AG81" s="401"/>
      <c r="AH81" s="3" t="s">
        <v>61</v>
      </c>
      <c r="AJ81" s="42"/>
      <c r="AL81" s="507">
        <f>IF(AM81="Sous-Article","",IF(AL80="",AL79+1,AL80+1))</f>
        <v>52</v>
      </c>
      <c r="AM81" s="504">
        <f>Y81</f>
        <v>0</v>
      </c>
      <c r="AN81" s="504" t="str">
        <f>IFERROR((VLOOKUP($Y81,Présentation!$L$20:$M$24,2,FALSE)),"")</f>
        <v/>
      </c>
      <c r="AO81" s="502" t="str">
        <f>IFERROR(CHOOSE($AN81,"",Présentation!$D$20,Présentation!$D$21,Présentation!$D$22,Présentation!$D$23,Présentation!$D$24),"")</f>
        <v/>
      </c>
      <c r="AP81" s="516">
        <f>IF(AM81="Non applicable",1,0)</f>
        <v>0</v>
      </c>
      <c r="AQ81" s="512">
        <f>IF(AM81="Non applicable",0,1/COUNTIF($AP$81:$AP$85,"=0"))</f>
        <v>0.2</v>
      </c>
      <c r="AR81" s="502" t="str">
        <f>IFERROR(AO81*AQ81,"")</f>
        <v/>
      </c>
      <c r="AS81" s="502"/>
      <c r="AT81" s="502"/>
      <c r="AU81" s="502"/>
      <c r="AV81" s="502"/>
      <c r="AW81" s="501"/>
      <c r="AX81" s="502"/>
      <c r="AY81" s="501"/>
      <c r="AZ81" s="501"/>
      <c r="BC81" s="510" t="str">
        <f t="shared" si="21"/>
        <v xml:space="preserve"> </v>
      </c>
    </row>
    <row r="82" spans="2:83" ht="44.25" customHeight="1" x14ac:dyDescent="0.25">
      <c r="B82" s="637"/>
      <c r="C82" s="388">
        <f>IF(ISERROR(C81+1),C80+1,C81+1)</f>
        <v>53</v>
      </c>
      <c r="D82" s="274" t="s">
        <v>306</v>
      </c>
      <c r="E82" s="642"/>
      <c r="F82" s="642"/>
      <c r="G82" s="642"/>
      <c r="H82" s="642"/>
      <c r="I82" s="642"/>
      <c r="J82" s="642"/>
      <c r="K82" s="642"/>
      <c r="L82" s="642"/>
      <c r="M82" s="642"/>
      <c r="N82" s="642"/>
      <c r="O82" s="642"/>
      <c r="P82" s="642"/>
      <c r="Q82" s="642"/>
      <c r="R82" s="642"/>
      <c r="S82" s="642"/>
      <c r="T82" s="642"/>
      <c r="U82" s="1"/>
      <c r="V82" s="375" t="s">
        <v>103</v>
      </c>
      <c r="W82" s="638" t="s">
        <v>647</v>
      </c>
      <c r="X82" s="1" t="str">
        <f t="shared" si="16"/>
        <v xml:space="preserve"> </v>
      </c>
      <c r="Y82" s="1"/>
      <c r="Z82" s="389" t="str">
        <f>IF($U82="Non","NA",$AO82)</f>
        <v/>
      </c>
      <c r="AA82" s="274" t="str">
        <f>IF(Exigences!Y82=Présentation!$L$20,'Plan d''actions'!E73,IF(Exigences!Y82=Présentation!$L$21,'Plan d''actions'!E73,"Pas de plan d'actions à suggérer!"))</f>
        <v>Pas de plan d'actions à suggérer!</v>
      </c>
      <c r="AB82" s="277"/>
      <c r="AC82" s="277"/>
      <c r="AD82" s="277"/>
      <c r="AE82" s="404"/>
      <c r="AF82" s="401"/>
      <c r="AG82" s="401"/>
      <c r="AH82" s="3" t="s">
        <v>61</v>
      </c>
      <c r="AJ82" s="42"/>
      <c r="AL82" s="507">
        <f>IF(AM82="Sous-Article","",IF(AL81="",AL80+1,AL81+1))</f>
        <v>53</v>
      </c>
      <c r="AM82" s="504">
        <f>Y82</f>
        <v>0</v>
      </c>
      <c r="AN82" s="504" t="str">
        <f>IFERROR((VLOOKUP($Y82,Présentation!$L$20:$M$24,2,FALSE)),"")</f>
        <v/>
      </c>
      <c r="AO82" s="502" t="str">
        <f>IFERROR(CHOOSE($AN82,"",Présentation!$D$20,Présentation!$D$21,Présentation!$D$22,Présentation!$D$23,Présentation!$D$24),"")</f>
        <v/>
      </c>
      <c r="AP82" s="516">
        <f>IF(AM82="Non applicable",1,0)</f>
        <v>0</v>
      </c>
      <c r="AQ82" s="512">
        <f>IF(AM82="Non applicable",0,1/COUNTIF($AP$81:$AP$85,"=0"))</f>
        <v>0.2</v>
      </c>
      <c r="AR82" s="502" t="str">
        <f>IFERROR(AO82*AQ82,"")</f>
        <v/>
      </c>
      <c r="AS82" s="502"/>
      <c r="AT82" s="502"/>
      <c r="AU82" s="502"/>
      <c r="AV82" s="502"/>
      <c r="AW82" s="501"/>
      <c r="AX82" s="502"/>
      <c r="AY82" s="501"/>
      <c r="AZ82" s="501"/>
      <c r="BC82" s="510" t="str">
        <f t="shared" si="21"/>
        <v xml:space="preserve"> </v>
      </c>
    </row>
    <row r="83" spans="2:83" ht="59.25" customHeight="1" x14ac:dyDescent="0.25">
      <c r="B83" s="637"/>
      <c r="C83" s="388">
        <f>IF(ISERROR(C82+1),C81+1,C82+1)</f>
        <v>54</v>
      </c>
      <c r="D83" s="274" t="s">
        <v>315</v>
      </c>
      <c r="E83" s="642"/>
      <c r="F83" s="642"/>
      <c r="G83" s="642"/>
      <c r="H83" s="642"/>
      <c r="I83" s="642"/>
      <c r="J83" s="642"/>
      <c r="K83" s="642"/>
      <c r="L83" s="642"/>
      <c r="M83" s="642"/>
      <c r="N83" s="642"/>
      <c r="O83" s="642"/>
      <c r="P83" s="642"/>
      <c r="Q83" s="642"/>
      <c r="R83" s="642"/>
      <c r="S83" s="642"/>
      <c r="T83" s="642"/>
      <c r="U83" s="1"/>
      <c r="V83" s="375" t="s">
        <v>103</v>
      </c>
      <c r="W83" s="649"/>
      <c r="X83" s="1" t="str">
        <f t="shared" si="16"/>
        <v xml:space="preserve"> </v>
      </c>
      <c r="Y83" s="1"/>
      <c r="Z83" s="389" t="str">
        <f>IF($U83="Non","NA",$AO83)</f>
        <v/>
      </c>
      <c r="AA83" s="274" t="str">
        <f>IF(Exigences!Y83=Présentation!$L$20,'Plan d''actions'!E74,IF(Exigences!Y83=Présentation!$L$21,'Plan d''actions'!E74,"Pas de plan d'actions à suggérer!"))</f>
        <v>Pas de plan d'actions à suggérer!</v>
      </c>
      <c r="AB83" s="277"/>
      <c r="AC83" s="277"/>
      <c r="AD83" s="277"/>
      <c r="AE83" s="404"/>
      <c r="AF83" s="401"/>
      <c r="AG83" s="401"/>
      <c r="AH83" s="3" t="s">
        <v>61</v>
      </c>
      <c r="AJ83" s="42"/>
      <c r="AL83" s="507">
        <f>IF(AM83="Sous-Article","",IF(AL82="",AL81+1,AL82+1))</f>
        <v>54</v>
      </c>
      <c r="AM83" s="504">
        <f>Y83</f>
        <v>0</v>
      </c>
      <c r="AN83" s="504" t="str">
        <f>IFERROR((VLOOKUP($Y83,Présentation!$L$20:$M$24,2,FALSE)),"")</f>
        <v/>
      </c>
      <c r="AO83" s="502" t="str">
        <f>IFERROR(CHOOSE($AN83,"",Présentation!$D$20,Présentation!$D$21,Présentation!$D$22,Présentation!$D$23,Présentation!$D$24),"")</f>
        <v/>
      </c>
      <c r="AP83" s="516">
        <f>IF(AM83="Non applicable",1,0)</f>
        <v>0</v>
      </c>
      <c r="AQ83" s="512">
        <f>IF(AM83="Non applicable",0,1/COUNTIF($AP$81:$AP$85,"=0"))</f>
        <v>0.2</v>
      </c>
      <c r="AR83" s="502" t="str">
        <f>IFERROR(AO83*AQ83,"")</f>
        <v/>
      </c>
      <c r="AS83" s="502"/>
      <c r="AT83" s="502"/>
      <c r="AU83" s="502"/>
      <c r="AV83" s="502"/>
      <c r="AW83" s="501"/>
      <c r="AX83" s="502"/>
      <c r="AY83" s="501"/>
      <c r="AZ83" s="501"/>
      <c r="BC83" s="510" t="str">
        <f t="shared" si="21"/>
        <v xml:space="preserve"> </v>
      </c>
    </row>
    <row r="84" spans="2:83" ht="56.25" customHeight="1" x14ac:dyDescent="0.25">
      <c r="B84" s="636"/>
      <c r="C84" s="388">
        <f>IF(ISERROR(#REF!+1),C83+1,#REF!+1)</f>
        <v>55</v>
      </c>
      <c r="D84" s="274" t="s">
        <v>400</v>
      </c>
      <c r="E84" s="642"/>
      <c r="F84" s="642"/>
      <c r="G84" s="642"/>
      <c r="H84" s="642"/>
      <c r="I84" s="642"/>
      <c r="J84" s="642"/>
      <c r="K84" s="642"/>
      <c r="L84" s="642"/>
      <c r="M84" s="642"/>
      <c r="N84" s="642"/>
      <c r="O84" s="642"/>
      <c r="P84" s="642"/>
      <c r="Q84" s="642"/>
      <c r="R84" s="642"/>
      <c r="S84" s="642"/>
      <c r="T84" s="642"/>
      <c r="U84" s="1"/>
      <c r="V84" s="375" t="s">
        <v>103</v>
      </c>
      <c r="W84" s="453" t="s">
        <v>648</v>
      </c>
      <c r="X84" s="1" t="str">
        <f t="shared" si="16"/>
        <v xml:space="preserve"> </v>
      </c>
      <c r="Y84" s="1"/>
      <c r="Z84" s="389" t="str">
        <f>IF($U84="Non","NA",$AO84)</f>
        <v/>
      </c>
      <c r="AA84" s="274" t="str">
        <f>IF(Exigences!Y84=Présentation!$L$20,'Plan d''actions'!E75,IF(Exigences!Y84=Présentation!$L$21,'Plan d''actions'!E75,"Pas de plan d'actions à suggérer!"))</f>
        <v>Pas de plan d'actions à suggérer!</v>
      </c>
      <c r="AB84" s="277"/>
      <c r="AC84" s="277"/>
      <c r="AD84" s="277"/>
      <c r="AE84" s="404"/>
      <c r="AF84" s="401"/>
      <c r="AG84" s="401"/>
      <c r="AH84" s="3" t="s">
        <v>61</v>
      </c>
      <c r="AJ84" s="42"/>
      <c r="AL84" s="507">
        <f>IF(AM84="Sous-Article","",IF(AL83="",AL82+1,AL83+1))</f>
        <v>55</v>
      </c>
      <c r="AM84" s="504">
        <f>Y84</f>
        <v>0</v>
      </c>
      <c r="AN84" s="504" t="str">
        <f>IFERROR((VLOOKUP($Y84,Présentation!$L$20:$M$24,2,FALSE)),"")</f>
        <v/>
      </c>
      <c r="AO84" s="502" t="str">
        <f>IFERROR(CHOOSE($AN84,"",Présentation!$D$20,Présentation!$D$21,Présentation!$D$22,Présentation!$D$23,Présentation!$D$24),"")</f>
        <v/>
      </c>
      <c r="AP84" s="516">
        <f>IF(AM84="Non applicable",1,0)</f>
        <v>0</v>
      </c>
      <c r="AQ84" s="512">
        <f>IF(AM84="Non applicable",0,1/COUNTIF($AP$81:$AP$85,"=0"))</f>
        <v>0.2</v>
      </c>
      <c r="AR84" s="502" t="str">
        <f>IFERROR(AO84*AQ84,"")</f>
        <v/>
      </c>
      <c r="AS84" s="502"/>
      <c r="AT84" s="502"/>
      <c r="AU84" s="502"/>
      <c r="AV84" s="502"/>
      <c r="AW84" s="501"/>
      <c r="AX84" s="502"/>
      <c r="AY84" s="501"/>
      <c r="AZ84" s="501"/>
      <c r="BC84" s="510" t="str">
        <f t="shared" si="21"/>
        <v xml:space="preserve"> </v>
      </c>
    </row>
    <row r="85" spans="2:83" ht="64.5" customHeight="1" x14ac:dyDescent="0.25">
      <c r="B85" s="291" t="s">
        <v>257</v>
      </c>
      <c r="C85" s="388">
        <f>IF(ISERROR(C84+1),#REF!+1,C84+1)</f>
        <v>56</v>
      </c>
      <c r="D85" s="382" t="s">
        <v>407</v>
      </c>
      <c r="E85" s="643"/>
      <c r="F85" s="643"/>
      <c r="G85" s="643"/>
      <c r="H85" s="643"/>
      <c r="I85" s="643"/>
      <c r="J85" s="643"/>
      <c r="K85" s="643"/>
      <c r="L85" s="643"/>
      <c r="M85" s="643"/>
      <c r="N85" s="643"/>
      <c r="O85" s="643"/>
      <c r="P85" s="643"/>
      <c r="Q85" s="643"/>
      <c r="R85" s="643"/>
      <c r="S85" s="643"/>
      <c r="T85" s="643"/>
      <c r="U85" s="1"/>
      <c r="V85" s="375" t="s">
        <v>103</v>
      </c>
      <c r="W85" s="290" t="s">
        <v>357</v>
      </c>
      <c r="X85" s="1" t="str">
        <f>BC85</f>
        <v xml:space="preserve"> </v>
      </c>
      <c r="Y85" s="1"/>
      <c r="Z85" s="389" t="str">
        <f>IF($U85="Non","NA",$AO85)</f>
        <v/>
      </c>
      <c r="AA85" s="274" t="str">
        <f>IF(Exigences!Y85=Présentation!$L$20,'Plan d''actions'!E76,IF(Exigences!Y85=Présentation!$L$21,'Plan d''actions'!E76,"Pas de plan d'actions à suggérer!"))</f>
        <v>Pas de plan d'actions à suggérer!</v>
      </c>
      <c r="AB85" s="277"/>
      <c r="AC85" s="277"/>
      <c r="AD85" s="277"/>
      <c r="AE85" s="404"/>
      <c r="AF85" s="401"/>
      <c r="AG85" s="401"/>
      <c r="AH85" s="3" t="s">
        <v>61</v>
      </c>
      <c r="AJ85" s="42"/>
      <c r="AL85" s="507">
        <f>IF(AM85="Sous-Article","",IF(AL84="",#REF!+1,AL84+1))</f>
        <v>56</v>
      </c>
      <c r="AM85" s="504">
        <f>Y85</f>
        <v>0</v>
      </c>
      <c r="AN85" s="504" t="str">
        <f>IFERROR((VLOOKUP($Y85,Présentation!$L$20:$M$24,2,FALSE)),"")</f>
        <v/>
      </c>
      <c r="AO85" s="502" t="str">
        <f>IFERROR(CHOOSE($AN85,"",Présentation!$D$20,Présentation!$D$21,Présentation!$D$22,Présentation!$D$23,Présentation!$D$24),"")</f>
        <v/>
      </c>
      <c r="AP85" s="516">
        <f>IF(AM85="Non applicable",1,0)</f>
        <v>0</v>
      </c>
      <c r="AQ85" s="512">
        <f>IF(AM85="Non applicable",0,1/COUNTIF($AP$81:$AP$85,"=0"))</f>
        <v>0.2</v>
      </c>
      <c r="AR85" s="502" t="str">
        <f>IFERROR(AO85*AQ85,"")</f>
        <v/>
      </c>
      <c r="AS85" s="502"/>
      <c r="AT85" s="502"/>
      <c r="AU85" s="502"/>
      <c r="AV85" s="502"/>
      <c r="AW85" s="501"/>
      <c r="AX85" s="502"/>
      <c r="AY85" s="501"/>
      <c r="AZ85" s="501"/>
      <c r="BC85" s="510" t="str">
        <f t="shared" si="21"/>
        <v xml:space="preserve"> </v>
      </c>
    </row>
    <row r="86" spans="2:83" s="438" customFormat="1" ht="27.75" customHeight="1" x14ac:dyDescent="0.25">
      <c r="B86" s="223"/>
      <c r="C86" s="223">
        <v>8</v>
      </c>
      <c r="D86" s="230" t="s">
        <v>152</v>
      </c>
      <c r="E86" s="441"/>
      <c r="F86" s="442"/>
      <c r="G86" s="442"/>
      <c r="H86" s="442"/>
      <c r="I86" s="442"/>
      <c r="J86" s="442"/>
      <c r="K86" s="442"/>
      <c r="L86" s="442"/>
      <c r="M86" s="442"/>
      <c r="N86" s="442"/>
      <c r="O86" s="442"/>
      <c r="P86" s="442"/>
      <c r="Q86" s="442"/>
      <c r="R86" s="442"/>
      <c r="S86" s="442"/>
      <c r="T86" s="442"/>
      <c r="U86" s="430" t="s">
        <v>261</v>
      </c>
      <c r="V86" s="653" t="s">
        <v>100</v>
      </c>
      <c r="W86" s="654"/>
      <c r="X86" s="654"/>
      <c r="Y86" s="171" t="str">
        <f>AW86</f>
        <v>Niveau non applicable</v>
      </c>
      <c r="Z86" s="171" t="str">
        <f>IF($Y86="Niveau non applicable","NA",AV86)</f>
        <v>NA</v>
      </c>
      <c r="AA86" s="171" t="s">
        <v>296</v>
      </c>
      <c r="AB86" s="171" t="s">
        <v>638</v>
      </c>
      <c r="AC86" s="171" t="s">
        <v>605</v>
      </c>
      <c r="AD86" s="171" t="s">
        <v>279</v>
      </c>
      <c r="AE86" s="443" t="s">
        <v>280</v>
      </c>
      <c r="AF86" s="444" t="s">
        <v>281</v>
      </c>
      <c r="AG86" s="444" t="s">
        <v>527</v>
      </c>
      <c r="AH86" s="171" t="s">
        <v>101</v>
      </c>
      <c r="AJ86" s="439"/>
      <c r="AK86" s="182"/>
      <c r="AL86" s="507" t="str">
        <f>IF(AM86="Article","",IF(#REF!="",#REF!+1,#REF!+1))</f>
        <v/>
      </c>
      <c r="AM86" s="504" t="s">
        <v>23</v>
      </c>
      <c r="AN86" s="504"/>
      <c r="AO86" s="501"/>
      <c r="AP86" s="501"/>
      <c r="AQ86" s="512"/>
      <c r="AR86" s="502"/>
      <c r="AS86" s="502" t="s">
        <v>28</v>
      </c>
      <c r="AT86" s="502"/>
      <c r="AU86" s="507">
        <f>SUM(AU87:AU140)</f>
        <v>0</v>
      </c>
      <c r="AV86" s="507">
        <f>SUM(AV87:AV140)</f>
        <v>0</v>
      </c>
      <c r="AW86" s="505" t="str">
        <f>IFERROR(IF(AV86=Présentation!$D$24,Présentation!$H$24,IF(AV86&lt;=Présentation!$F$20,Présentation!$G$20,IF(AV86&lt;=Présentation!$F$21,Présentation!$G$21,IF(AV86&lt;=Présentation!$F$22,Présentation!$G$22,Présentation!$G$23)))),"")</f>
        <v>Niveau non applicable</v>
      </c>
      <c r="AX86" s="502">
        <f>1/7</f>
        <v>0.14285714285714285</v>
      </c>
      <c r="AY86" s="502">
        <f>AV86*AX86</f>
        <v>0</v>
      </c>
      <c r="AZ86" s="508"/>
      <c r="BA86" s="496"/>
      <c r="BB86" s="496"/>
      <c r="BC86" s="510" t="str">
        <f t="shared" si="21"/>
        <v xml:space="preserve"> </v>
      </c>
      <c r="BD86" s="496"/>
      <c r="BE86" s="496"/>
      <c r="BF86" s="496"/>
      <c r="BG86" s="496"/>
      <c r="BH86" s="496"/>
      <c r="BI86" s="182"/>
      <c r="BJ86" s="182"/>
      <c r="BK86" s="182"/>
      <c r="BL86" s="182"/>
      <c r="BM86" s="182"/>
      <c r="BN86" s="182"/>
      <c r="BO86" s="182"/>
      <c r="BP86" s="182"/>
      <c r="BQ86" s="182"/>
      <c r="BR86" s="182"/>
      <c r="BS86" s="182"/>
      <c r="BT86" s="182"/>
      <c r="BU86" s="182"/>
      <c r="BV86" s="182"/>
      <c r="BW86" s="182"/>
      <c r="BX86" s="182"/>
      <c r="BY86" s="182"/>
      <c r="BZ86" s="182"/>
      <c r="CA86" s="182"/>
      <c r="CB86" s="182"/>
      <c r="CC86" s="182"/>
      <c r="CD86" s="182"/>
      <c r="CE86" s="182"/>
    </row>
    <row r="87" spans="2:83" ht="30" customHeight="1" x14ac:dyDescent="0.25">
      <c r="B87" s="224"/>
      <c r="C87" s="224" t="s">
        <v>153</v>
      </c>
      <c r="D87" s="231" t="s">
        <v>154</v>
      </c>
      <c r="E87" s="641"/>
      <c r="F87" s="641"/>
      <c r="G87" s="641"/>
      <c r="H87" s="641"/>
      <c r="I87" s="641"/>
      <c r="J87" s="641"/>
      <c r="K87" s="641"/>
      <c r="L87" s="641"/>
      <c r="M87" s="641"/>
      <c r="N87" s="641"/>
      <c r="O87" s="641"/>
      <c r="P87" s="641"/>
      <c r="Q87" s="641"/>
      <c r="R87" s="641"/>
      <c r="S87" s="641"/>
      <c r="T87" s="641"/>
      <c r="U87" s="172" t="s">
        <v>261</v>
      </c>
      <c r="V87" s="172" t="s">
        <v>104</v>
      </c>
      <c r="W87" s="172" t="s">
        <v>188</v>
      </c>
      <c r="X87" s="172" t="s">
        <v>262</v>
      </c>
      <c r="Y87" s="172" t="str">
        <f>AS87</f>
        <v>Niveau non applicable</v>
      </c>
      <c r="Z87" s="172" t="str">
        <f>IF($Y87="Niveau non applicable","NA",$AR87)</f>
        <v>NA</v>
      </c>
      <c r="AA87" s="172" t="s">
        <v>296</v>
      </c>
      <c r="AB87" s="276" t="s">
        <v>638</v>
      </c>
      <c r="AC87" s="276" t="s">
        <v>605</v>
      </c>
      <c r="AD87" s="276" t="s">
        <v>279</v>
      </c>
      <c r="AE87" s="405" t="s">
        <v>280</v>
      </c>
      <c r="AF87" s="402" t="s">
        <v>281</v>
      </c>
      <c r="AG87" s="276" t="s">
        <v>527</v>
      </c>
      <c r="AH87" s="253" t="s">
        <v>101</v>
      </c>
      <c r="AJ87" s="42"/>
      <c r="AL87" s="507" t="str">
        <f>IF(AM87="Sous-Article","",IF(AL86="",#REF!+1,AL86+1))</f>
        <v/>
      </c>
      <c r="AM87" s="511" t="s">
        <v>24</v>
      </c>
      <c r="AN87" s="511"/>
      <c r="AO87" s="501" t="s">
        <v>28</v>
      </c>
      <c r="AP87" s="501"/>
      <c r="AQ87" s="512">
        <f>SUM(AQ88:AQ93)</f>
        <v>0.99999999999999989</v>
      </c>
      <c r="AR87" s="502">
        <f>IFERROR(SUM(AR88:AR93),"")</f>
        <v>0</v>
      </c>
      <c r="AS87" s="505" t="str">
        <f>IFERROR(IF(AR87=Présentation!$F$24,Présentation!$H$24,IF(AR87&lt;=Présentation!$F$20,Présentation!$G$20,IF(AR87&lt;=Présentation!$F$21,Présentation!$G$21,IF(AR87&lt;=Présentation!$F$22,Présentation!$G$22,Présentation!$G$23)))),"")</f>
        <v>Niveau non applicable</v>
      </c>
      <c r="AT87" s="513">
        <f>IF(AS87="Niveau Non applicable",1,0)</f>
        <v>1</v>
      </c>
      <c r="AU87" s="502">
        <f>IF(AS87="Niveau Non applicable",0,1/COUNTIF($AT$87:$AT$140,"=0"))</f>
        <v>0</v>
      </c>
      <c r="AV87" s="502">
        <f>AU87*AR87</f>
        <v>0</v>
      </c>
      <c r="AW87" s="508"/>
      <c r="AX87" s="514"/>
      <c r="AY87" s="508"/>
      <c r="AZ87" s="508"/>
      <c r="BC87" s="510" t="str">
        <f t="shared" si="21"/>
        <v xml:space="preserve"> </v>
      </c>
    </row>
    <row r="88" spans="2:83" ht="57" customHeight="1" x14ac:dyDescent="0.25">
      <c r="B88" s="383" t="s">
        <v>258</v>
      </c>
      <c r="C88" s="388">
        <f>IF(ISERROR(C87+1),C85+1,C87+1)</f>
        <v>57</v>
      </c>
      <c r="D88" s="274" t="s">
        <v>439</v>
      </c>
      <c r="E88" s="642"/>
      <c r="F88" s="642"/>
      <c r="G88" s="642"/>
      <c r="H88" s="642"/>
      <c r="I88" s="642"/>
      <c r="J88" s="642"/>
      <c r="K88" s="642"/>
      <c r="L88" s="642"/>
      <c r="M88" s="642"/>
      <c r="N88" s="642"/>
      <c r="O88" s="642"/>
      <c r="P88" s="642"/>
      <c r="Q88" s="642"/>
      <c r="R88" s="642"/>
      <c r="S88" s="642"/>
      <c r="T88" s="642"/>
      <c r="U88" s="1"/>
      <c r="V88" s="375" t="s">
        <v>102</v>
      </c>
      <c r="W88" s="334" t="s">
        <v>327</v>
      </c>
      <c r="X88" s="1" t="str">
        <f t="shared" ref="X88:X93" si="22">BC88</f>
        <v xml:space="preserve"> </v>
      </c>
      <c r="Y88" s="1"/>
      <c r="Z88" s="389" t="str">
        <f t="shared" ref="Z88:Z93" si="23">IF($U88="Non","NA",$AO88)</f>
        <v/>
      </c>
      <c r="AA88" s="274" t="str">
        <f>IF(Exigences!Y88=Présentation!$L$20,'Plan d''actions'!E79,IF(Exigences!Y88=Présentation!$L$21,'Plan d''actions'!E79,"Pas de plan d'actions à suggérer!"))</f>
        <v>Pas de plan d'actions à suggérer!</v>
      </c>
      <c r="AB88" s="277"/>
      <c r="AC88" s="277"/>
      <c r="AD88" s="277"/>
      <c r="AE88" s="404"/>
      <c r="AF88" s="401"/>
      <c r="AG88" s="401"/>
      <c r="AH88" s="3" t="s">
        <v>61</v>
      </c>
      <c r="AJ88" s="42"/>
      <c r="AL88" s="507">
        <f>IF(AM88="Sous-Article","",IF(AL87="",AL85+1,AL87+1))</f>
        <v>57</v>
      </c>
      <c r="AM88" s="504">
        <f t="shared" ref="AM88:AM93" si="24">Y88</f>
        <v>0</v>
      </c>
      <c r="AN88" s="504" t="str">
        <f>IFERROR((VLOOKUP($Y88,Présentation!$L$20:$M$24,2,FALSE)),"")</f>
        <v/>
      </c>
      <c r="AO88" s="502" t="str">
        <f>IFERROR(CHOOSE($AN88,"",Présentation!$D$20,Présentation!$D$21,Présentation!$D$22,Présentation!$D$23,Présentation!$D$24),"")</f>
        <v/>
      </c>
      <c r="AP88" s="516">
        <f t="shared" ref="AP88:AP93" si="25">IF(AM88="Non applicable",1,0)</f>
        <v>0</v>
      </c>
      <c r="AQ88" s="512">
        <f t="shared" ref="AQ88:AQ93" si="26">IF(AM88="Non applicable",0,1/COUNTIF($AP$88:$AP$93,"=0"))</f>
        <v>0.16666666666666666</v>
      </c>
      <c r="AR88" s="502" t="str">
        <f>IFERROR(AO88*AQ88,"")</f>
        <v/>
      </c>
      <c r="AS88" s="502"/>
      <c r="AT88" s="502"/>
      <c r="AU88" s="502"/>
      <c r="AV88" s="502"/>
      <c r="AW88" s="501"/>
      <c r="AX88" s="502"/>
      <c r="AY88" s="501"/>
      <c r="AZ88" s="501"/>
      <c r="BC88" s="510" t="str">
        <f t="shared" si="21"/>
        <v xml:space="preserve"> </v>
      </c>
      <c r="BI88" s="37"/>
      <c r="BJ88" s="37"/>
      <c r="BK88" s="37"/>
      <c r="BL88" s="37"/>
      <c r="BM88" s="37"/>
      <c r="BN88" s="37"/>
      <c r="BO88" s="37"/>
      <c r="BP88" s="37"/>
      <c r="BQ88" s="37"/>
      <c r="BR88" s="37"/>
      <c r="BS88" s="37"/>
      <c r="BT88" s="37"/>
      <c r="BU88" s="37"/>
      <c r="BV88" s="37"/>
      <c r="BW88" s="37"/>
      <c r="BX88" s="37"/>
      <c r="BY88" s="37"/>
      <c r="BZ88" s="37"/>
      <c r="CA88" s="37"/>
      <c r="CB88" s="37"/>
      <c r="CC88" s="37"/>
      <c r="CD88" s="37"/>
      <c r="CE88" s="37"/>
    </row>
    <row r="89" spans="2:83" ht="28.5" customHeight="1" x14ac:dyDescent="0.25">
      <c r="B89" s="650" t="s">
        <v>257</v>
      </c>
      <c r="C89" s="388">
        <f>IF(ISERROR(C88+1),C87+1,C88+1)</f>
        <v>58</v>
      </c>
      <c r="D89" s="382" t="s">
        <v>414</v>
      </c>
      <c r="E89" s="642"/>
      <c r="F89" s="642"/>
      <c r="G89" s="642"/>
      <c r="H89" s="642"/>
      <c r="I89" s="642"/>
      <c r="J89" s="642"/>
      <c r="K89" s="642"/>
      <c r="L89" s="642"/>
      <c r="M89" s="642"/>
      <c r="N89" s="642"/>
      <c r="O89" s="642"/>
      <c r="P89" s="642"/>
      <c r="Q89" s="642"/>
      <c r="R89" s="642"/>
      <c r="S89" s="642"/>
      <c r="T89" s="642"/>
      <c r="U89" s="1"/>
      <c r="V89" s="375" t="s">
        <v>103</v>
      </c>
      <c r="W89" s="384" t="s">
        <v>418</v>
      </c>
      <c r="X89" s="1" t="str">
        <f t="shared" si="22"/>
        <v xml:space="preserve"> </v>
      </c>
      <c r="Y89" s="1"/>
      <c r="Z89" s="389" t="str">
        <f t="shared" si="23"/>
        <v/>
      </c>
      <c r="AA89" s="274" t="str">
        <f>IF(Exigences!Y89=Présentation!$L$20,'Plan d''actions'!E80,IF(Exigences!Y89=Présentation!$L$21,'Plan d''actions'!E80,"Pas de plan d'actions à suggérer!"))</f>
        <v>Pas de plan d'actions à suggérer!</v>
      </c>
      <c r="AB89" s="277"/>
      <c r="AC89" s="277"/>
      <c r="AD89" s="277"/>
      <c r="AE89" s="404"/>
      <c r="AF89" s="401"/>
      <c r="AG89" s="401"/>
      <c r="AH89" s="3" t="s">
        <v>61</v>
      </c>
      <c r="AJ89" s="42"/>
      <c r="AL89" s="507">
        <f>IF(AM89="Sous-Article","",IF(AL88="",AL87+1,AL88+1))</f>
        <v>58</v>
      </c>
      <c r="AM89" s="504">
        <f t="shared" si="24"/>
        <v>0</v>
      </c>
      <c r="AN89" s="504" t="str">
        <f>IFERROR((VLOOKUP($Y89,Présentation!$L$20:$M$24,2,FALSE)),"")</f>
        <v/>
      </c>
      <c r="AO89" s="502" t="str">
        <f>IFERROR(CHOOSE($AN89,"",Présentation!$D$20,Présentation!$D$21,Présentation!$D$22,Présentation!$D$23,Présentation!$D$24),"")</f>
        <v/>
      </c>
      <c r="AP89" s="516">
        <f t="shared" si="25"/>
        <v>0</v>
      </c>
      <c r="AQ89" s="512">
        <f t="shared" si="26"/>
        <v>0.16666666666666666</v>
      </c>
      <c r="AR89" s="502" t="str">
        <f>IFERROR(AO89*AQ89,"")</f>
        <v/>
      </c>
      <c r="AS89" s="502"/>
      <c r="AT89" s="502"/>
      <c r="AU89" s="502"/>
      <c r="AV89" s="502"/>
      <c r="AW89" s="501"/>
      <c r="AX89" s="502"/>
      <c r="AY89" s="501"/>
      <c r="AZ89" s="501"/>
      <c r="BC89" s="510" t="str">
        <f t="shared" si="21"/>
        <v xml:space="preserve"> </v>
      </c>
      <c r="BI89" s="37"/>
      <c r="BJ89" s="37"/>
      <c r="BK89" s="37"/>
      <c r="BL89" s="37"/>
      <c r="BM89" s="37"/>
      <c r="BN89" s="37"/>
      <c r="BO89" s="37"/>
      <c r="BP89" s="37"/>
      <c r="BQ89" s="37"/>
      <c r="BR89" s="37"/>
      <c r="BS89" s="37"/>
      <c r="BT89" s="37"/>
      <c r="BU89" s="37"/>
      <c r="BV89" s="37"/>
      <c r="BW89" s="37"/>
      <c r="BX89" s="37"/>
      <c r="BY89" s="37"/>
      <c r="BZ89" s="37"/>
      <c r="CA89" s="37"/>
      <c r="CB89" s="37"/>
      <c r="CC89" s="37"/>
      <c r="CD89" s="37"/>
      <c r="CE89" s="37"/>
    </row>
    <row r="90" spans="2:83" ht="36" customHeight="1" x14ac:dyDescent="0.25">
      <c r="B90" s="637"/>
      <c r="C90" s="388">
        <f>IF(ISERROR(C89+1),C88+1,C89+1)</f>
        <v>59</v>
      </c>
      <c r="D90" s="382" t="s">
        <v>415</v>
      </c>
      <c r="E90" s="642"/>
      <c r="F90" s="642"/>
      <c r="G90" s="642"/>
      <c r="H90" s="642"/>
      <c r="I90" s="642"/>
      <c r="J90" s="642"/>
      <c r="K90" s="642"/>
      <c r="L90" s="642"/>
      <c r="M90" s="642"/>
      <c r="N90" s="642"/>
      <c r="O90" s="642"/>
      <c r="P90" s="642"/>
      <c r="Q90" s="642"/>
      <c r="R90" s="642"/>
      <c r="S90" s="642"/>
      <c r="T90" s="642"/>
      <c r="U90" s="1"/>
      <c r="V90" s="375" t="s">
        <v>103</v>
      </c>
      <c r="W90" s="384" t="s">
        <v>428</v>
      </c>
      <c r="X90" s="1" t="str">
        <f t="shared" si="22"/>
        <v xml:space="preserve"> </v>
      </c>
      <c r="Y90" s="1"/>
      <c r="Z90" s="389" t="str">
        <f t="shared" si="23"/>
        <v/>
      </c>
      <c r="AA90" s="274" t="str">
        <f>IF(Exigences!Y90=Présentation!$L$20,'Plan d''actions'!E81,IF(Exigences!Y90=Présentation!$L$21,'Plan d''actions'!E81,"Pas de plan d'actions à suggérer!"))</f>
        <v>Pas de plan d'actions à suggérer!</v>
      </c>
      <c r="AB90" s="277"/>
      <c r="AC90" s="277"/>
      <c r="AD90" s="277"/>
      <c r="AE90" s="404"/>
      <c r="AF90" s="401"/>
      <c r="AG90" s="401"/>
      <c r="AH90" s="3" t="s">
        <v>61</v>
      </c>
      <c r="AJ90" s="42"/>
      <c r="AL90" s="507">
        <f>IF(AM90="Sous-Article","",IF(AL89="",AL88+1,AL89+1))</f>
        <v>59</v>
      </c>
      <c r="AM90" s="504">
        <f t="shared" si="24"/>
        <v>0</v>
      </c>
      <c r="AN90" s="504" t="str">
        <f>IFERROR((VLOOKUP($Y90,Présentation!$L$20:$M$24,2,FALSE)),"")</f>
        <v/>
      </c>
      <c r="AO90" s="502" t="str">
        <f>IFERROR(CHOOSE($AN90,"",Présentation!$D$20,Présentation!$D$21,Présentation!$D$22,Présentation!$D$23,Présentation!$D$24),"")</f>
        <v/>
      </c>
      <c r="AP90" s="516">
        <f t="shared" si="25"/>
        <v>0</v>
      </c>
      <c r="AQ90" s="512">
        <f t="shared" si="26"/>
        <v>0.16666666666666666</v>
      </c>
      <c r="AR90" s="502" t="str">
        <f>IFERROR(AO90*AQ90,"")</f>
        <v/>
      </c>
      <c r="AS90" s="502"/>
      <c r="AT90" s="502"/>
      <c r="AU90" s="502"/>
      <c r="AV90" s="502"/>
      <c r="AW90" s="501"/>
      <c r="AX90" s="502"/>
      <c r="AY90" s="501"/>
      <c r="AZ90" s="501"/>
      <c r="BC90" s="510" t="str">
        <f t="shared" si="21"/>
        <v xml:space="preserve"> </v>
      </c>
      <c r="BI90" s="37"/>
      <c r="BJ90" s="37"/>
      <c r="BK90" s="37"/>
      <c r="BL90" s="37"/>
      <c r="BM90" s="37"/>
      <c r="BN90" s="37"/>
      <c r="BO90" s="37"/>
      <c r="BP90" s="37"/>
      <c r="BQ90" s="37"/>
      <c r="BR90" s="37"/>
      <c r="BS90" s="37"/>
      <c r="BT90" s="37"/>
      <c r="BU90" s="37"/>
      <c r="BV90" s="37"/>
      <c r="BW90" s="37"/>
      <c r="BX90" s="37"/>
      <c r="BY90" s="37"/>
      <c r="BZ90" s="37"/>
      <c r="CA90" s="37"/>
      <c r="CB90" s="37"/>
      <c r="CC90" s="37"/>
      <c r="CD90" s="37"/>
      <c r="CE90" s="37"/>
    </row>
    <row r="91" spans="2:83" ht="42.75" customHeight="1" x14ac:dyDescent="0.25">
      <c r="B91" s="637"/>
      <c r="C91" s="388">
        <f>IF(ISERROR(C90+1),C89+1,C90+1)</f>
        <v>60</v>
      </c>
      <c r="D91" s="382" t="s">
        <v>416</v>
      </c>
      <c r="E91" s="642"/>
      <c r="F91" s="642"/>
      <c r="G91" s="642"/>
      <c r="H91" s="642"/>
      <c r="I91" s="642"/>
      <c r="J91" s="642"/>
      <c r="K91" s="642"/>
      <c r="L91" s="642"/>
      <c r="M91" s="642"/>
      <c r="N91" s="642"/>
      <c r="O91" s="642"/>
      <c r="P91" s="642"/>
      <c r="Q91" s="642"/>
      <c r="R91" s="642"/>
      <c r="S91" s="642"/>
      <c r="T91" s="642"/>
      <c r="U91" s="1"/>
      <c r="V91" s="375" t="s">
        <v>103</v>
      </c>
      <c r="W91" s="384" t="s">
        <v>420</v>
      </c>
      <c r="X91" s="1" t="str">
        <f t="shared" si="22"/>
        <v xml:space="preserve"> </v>
      </c>
      <c r="Y91" s="1"/>
      <c r="Z91" s="389" t="str">
        <f t="shared" si="23"/>
        <v/>
      </c>
      <c r="AA91" s="274" t="str">
        <f>IF(Exigences!Y91=Présentation!$L$20,'Plan d''actions'!E82,IF(Exigences!Y91=Présentation!$L$21,'Plan d''actions'!E82,"Pas de plan d'actions à suggérer!"))</f>
        <v>Pas de plan d'actions à suggérer!</v>
      </c>
      <c r="AB91" s="277"/>
      <c r="AC91" s="277"/>
      <c r="AD91" s="277"/>
      <c r="AE91" s="404"/>
      <c r="AF91" s="401"/>
      <c r="AG91" s="401"/>
      <c r="AH91" s="3" t="s">
        <v>61</v>
      </c>
      <c r="AJ91" s="42"/>
      <c r="AL91" s="507">
        <f>IF(AM91="Sous-Article","",IF(AL90="",AL89+1,AL90+1))</f>
        <v>60</v>
      </c>
      <c r="AM91" s="504">
        <f t="shared" si="24"/>
        <v>0</v>
      </c>
      <c r="AN91" s="504" t="str">
        <f>IFERROR((VLOOKUP($Y91,Présentation!$L$20:$M$24,2,FALSE)),"")</f>
        <v/>
      </c>
      <c r="AO91" s="502" t="str">
        <f>IFERROR(CHOOSE($AN91,"",Présentation!$D$20,Présentation!$D$21,Présentation!$D$22,Présentation!$D$23,Présentation!$D$24),"")</f>
        <v/>
      </c>
      <c r="AP91" s="516">
        <f t="shared" si="25"/>
        <v>0</v>
      </c>
      <c r="AQ91" s="512">
        <f t="shared" si="26"/>
        <v>0.16666666666666666</v>
      </c>
      <c r="AR91" s="502" t="str">
        <f t="shared" ref="AR91:AR92" si="27">IFERROR(AO91*AQ91,"")</f>
        <v/>
      </c>
      <c r="AS91" s="502"/>
      <c r="AT91" s="502"/>
      <c r="AU91" s="502"/>
      <c r="AV91" s="502"/>
      <c r="AW91" s="501"/>
      <c r="AX91" s="502"/>
      <c r="AY91" s="501"/>
      <c r="AZ91" s="501"/>
      <c r="BC91" s="510" t="str">
        <f t="shared" si="21"/>
        <v xml:space="preserve"> </v>
      </c>
      <c r="BI91" s="37"/>
      <c r="BJ91" s="37"/>
      <c r="BK91" s="37"/>
      <c r="BL91" s="37"/>
      <c r="BM91" s="37"/>
      <c r="BN91" s="37"/>
      <c r="BO91" s="37"/>
      <c r="BP91" s="37"/>
      <c r="BQ91" s="37"/>
      <c r="BR91" s="37"/>
      <c r="BS91" s="37"/>
      <c r="BT91" s="37"/>
      <c r="BU91" s="37"/>
      <c r="BV91" s="37"/>
      <c r="BW91" s="37"/>
      <c r="BX91" s="37"/>
      <c r="BY91" s="37"/>
      <c r="BZ91" s="37"/>
      <c r="CA91" s="37"/>
      <c r="CB91" s="37"/>
      <c r="CC91" s="37"/>
      <c r="CD91" s="37"/>
      <c r="CE91" s="37"/>
    </row>
    <row r="92" spans="2:83" ht="48" customHeight="1" x14ac:dyDescent="0.25">
      <c r="B92" s="637"/>
      <c r="C92" s="388">
        <f>IF(ISERROR(C91+1),C90+1,C91+1)</f>
        <v>61</v>
      </c>
      <c r="D92" s="382" t="s">
        <v>417</v>
      </c>
      <c r="E92" s="642"/>
      <c r="F92" s="642"/>
      <c r="G92" s="642"/>
      <c r="H92" s="642"/>
      <c r="I92" s="642"/>
      <c r="J92" s="642"/>
      <c r="K92" s="642"/>
      <c r="L92" s="642"/>
      <c r="M92" s="642"/>
      <c r="N92" s="642"/>
      <c r="O92" s="642"/>
      <c r="P92" s="642"/>
      <c r="Q92" s="642"/>
      <c r="R92" s="642"/>
      <c r="S92" s="642"/>
      <c r="T92" s="642"/>
      <c r="U92" s="1"/>
      <c r="V92" s="375" t="s">
        <v>103</v>
      </c>
      <c r="W92" s="384" t="s">
        <v>421</v>
      </c>
      <c r="X92" s="1" t="str">
        <f t="shared" si="22"/>
        <v xml:space="preserve"> </v>
      </c>
      <c r="Y92" s="1"/>
      <c r="Z92" s="389" t="str">
        <f t="shared" si="23"/>
        <v/>
      </c>
      <c r="AA92" s="274" t="str">
        <f>IF(Exigences!Y92=Présentation!$L$20,'Plan d''actions'!E83,IF(Exigences!Y92=Présentation!$L$21,'Plan d''actions'!E83,"Pas de plan d'actions à suggérer!"))</f>
        <v>Pas de plan d'actions à suggérer!</v>
      </c>
      <c r="AB92" s="277"/>
      <c r="AC92" s="277"/>
      <c r="AD92" s="277"/>
      <c r="AE92" s="404"/>
      <c r="AF92" s="401"/>
      <c r="AG92" s="401"/>
      <c r="AH92" s="3" t="s">
        <v>61</v>
      </c>
      <c r="AJ92" s="42"/>
      <c r="AL92" s="507">
        <f>IF(AM92="Sous-Article","",IF(AL91="",AL90+1,AL91+1))</f>
        <v>61</v>
      </c>
      <c r="AM92" s="504">
        <f t="shared" si="24"/>
        <v>0</v>
      </c>
      <c r="AN92" s="504" t="str">
        <f>IFERROR((VLOOKUP($Y92,Présentation!$L$20:$M$24,2,FALSE)),"")</f>
        <v/>
      </c>
      <c r="AO92" s="502" t="str">
        <f>IFERROR(CHOOSE($AN92,"",Présentation!$D$20,Présentation!$D$21,Présentation!$D$22,Présentation!$D$23,Présentation!$D$24),"")</f>
        <v/>
      </c>
      <c r="AP92" s="516">
        <f t="shared" si="25"/>
        <v>0</v>
      </c>
      <c r="AQ92" s="512">
        <f t="shared" si="26"/>
        <v>0.16666666666666666</v>
      </c>
      <c r="AR92" s="502" t="str">
        <f t="shared" si="27"/>
        <v/>
      </c>
      <c r="AS92" s="502"/>
      <c r="AT92" s="502"/>
      <c r="AU92" s="502"/>
      <c r="AV92" s="502"/>
      <c r="AW92" s="501"/>
      <c r="AX92" s="502"/>
      <c r="AY92" s="501"/>
      <c r="AZ92" s="501"/>
      <c r="BC92" s="510" t="str">
        <f t="shared" si="21"/>
        <v xml:space="preserve"> </v>
      </c>
      <c r="BI92" s="37"/>
      <c r="BJ92" s="37"/>
      <c r="BK92" s="37"/>
      <c r="BL92" s="37"/>
      <c r="BM92" s="37"/>
      <c r="BN92" s="37"/>
      <c r="BO92" s="37"/>
      <c r="BP92" s="37"/>
      <c r="BQ92" s="37"/>
      <c r="BR92" s="37"/>
      <c r="BS92" s="37"/>
      <c r="BT92" s="37"/>
      <c r="BU92" s="37"/>
      <c r="BV92" s="37"/>
      <c r="BW92" s="37"/>
      <c r="BX92" s="37"/>
      <c r="BY92" s="37"/>
      <c r="BZ92" s="37"/>
      <c r="CA92" s="37"/>
      <c r="CB92" s="37"/>
      <c r="CC92" s="37"/>
      <c r="CD92" s="37"/>
      <c r="CE92" s="37"/>
    </row>
    <row r="93" spans="2:83" ht="40.5" customHeight="1" x14ac:dyDescent="0.25">
      <c r="B93" s="644"/>
      <c r="C93" s="388">
        <f>IF(ISERROR(C92+1),C91+1,C92+1)</f>
        <v>62</v>
      </c>
      <c r="D93" s="382" t="s">
        <v>419</v>
      </c>
      <c r="E93" s="643"/>
      <c r="F93" s="643"/>
      <c r="G93" s="643"/>
      <c r="H93" s="643"/>
      <c r="I93" s="643"/>
      <c r="J93" s="643"/>
      <c r="K93" s="643"/>
      <c r="L93" s="643"/>
      <c r="M93" s="643"/>
      <c r="N93" s="643"/>
      <c r="O93" s="643"/>
      <c r="P93" s="643"/>
      <c r="Q93" s="643"/>
      <c r="R93" s="643"/>
      <c r="S93" s="643"/>
      <c r="T93" s="643"/>
      <c r="U93" s="1"/>
      <c r="V93" s="375" t="s">
        <v>103</v>
      </c>
      <c r="W93" s="267" t="s">
        <v>429</v>
      </c>
      <c r="X93" s="1" t="str">
        <f t="shared" si="22"/>
        <v xml:space="preserve"> </v>
      </c>
      <c r="Y93" s="1"/>
      <c r="Z93" s="389" t="str">
        <f t="shared" si="23"/>
        <v/>
      </c>
      <c r="AA93" s="274" t="str">
        <f>IF(Exigences!Y93=Présentation!$L$20,'Plan d''actions'!E84,IF(Exigences!Y93=Présentation!$L$21,'Plan d''actions'!E84,"Pas de plan d'actions à suggérer!"))</f>
        <v>Pas de plan d'actions à suggérer!</v>
      </c>
      <c r="AB93" s="277"/>
      <c r="AC93" s="277"/>
      <c r="AD93" s="277"/>
      <c r="AE93" s="404"/>
      <c r="AF93" s="401"/>
      <c r="AG93" s="401"/>
      <c r="AH93" s="3" t="s">
        <v>61</v>
      </c>
      <c r="AJ93" s="42"/>
      <c r="AL93" s="507">
        <f>IF(AM93="Sous-Article","",IF(AL92="",AL91+1,AL92+1))</f>
        <v>62</v>
      </c>
      <c r="AM93" s="504">
        <f t="shared" si="24"/>
        <v>0</v>
      </c>
      <c r="AN93" s="504" t="str">
        <f>IFERROR((VLOOKUP($Y93,Présentation!$L$20:$M$24,2,FALSE)),"")</f>
        <v/>
      </c>
      <c r="AO93" s="502" t="str">
        <f>IFERROR(CHOOSE($AN93,"",Présentation!$D$20,Présentation!$D$21,Présentation!$D$22,Présentation!$D$23,Présentation!$D$24),"")</f>
        <v/>
      </c>
      <c r="AP93" s="516">
        <f t="shared" si="25"/>
        <v>0</v>
      </c>
      <c r="AQ93" s="512">
        <f t="shared" si="26"/>
        <v>0.16666666666666666</v>
      </c>
      <c r="AR93" s="502" t="str">
        <f>IFERROR(AO93*AQ93,"")</f>
        <v/>
      </c>
      <c r="AS93" s="502"/>
      <c r="AT93" s="502"/>
      <c r="AU93" s="502"/>
      <c r="AV93" s="502"/>
      <c r="AW93" s="501"/>
      <c r="AX93" s="502"/>
      <c r="AY93" s="501"/>
      <c r="AZ93" s="501"/>
      <c r="BC93" s="510" t="str">
        <f t="shared" si="21"/>
        <v xml:space="preserve"> </v>
      </c>
      <c r="BI93" s="37"/>
      <c r="BJ93" s="37"/>
      <c r="BK93" s="37"/>
      <c r="BL93" s="37"/>
      <c r="BM93" s="37"/>
      <c r="BN93" s="37"/>
      <c r="BO93" s="37"/>
      <c r="BP93" s="37"/>
      <c r="BQ93" s="37"/>
      <c r="BR93" s="37"/>
      <c r="BS93" s="37"/>
      <c r="BT93" s="37"/>
      <c r="BU93" s="37"/>
      <c r="BV93" s="37"/>
      <c r="BW93" s="37"/>
      <c r="BX93" s="37"/>
      <c r="BY93" s="37"/>
      <c r="BZ93" s="37"/>
      <c r="CA93" s="37"/>
      <c r="CB93" s="37"/>
      <c r="CC93" s="37"/>
      <c r="CD93" s="37"/>
      <c r="CE93" s="37"/>
    </row>
    <row r="94" spans="2:83" ht="30" customHeight="1" x14ac:dyDescent="0.25">
      <c r="B94" s="224"/>
      <c r="C94" s="224" t="s">
        <v>155</v>
      </c>
      <c r="D94" s="231" t="s">
        <v>156</v>
      </c>
      <c r="E94" s="641"/>
      <c r="F94" s="641"/>
      <c r="G94" s="641"/>
      <c r="H94" s="641"/>
      <c r="I94" s="641"/>
      <c r="J94" s="641"/>
      <c r="K94" s="641"/>
      <c r="L94" s="641"/>
      <c r="M94" s="641"/>
      <c r="N94" s="641"/>
      <c r="O94" s="641"/>
      <c r="P94" s="641"/>
      <c r="Q94" s="641"/>
      <c r="R94" s="641"/>
      <c r="S94" s="641"/>
      <c r="T94" s="641"/>
      <c r="U94" s="172" t="s">
        <v>261</v>
      </c>
      <c r="V94" s="172" t="s">
        <v>104</v>
      </c>
      <c r="W94" s="172" t="s">
        <v>188</v>
      </c>
      <c r="X94" s="172" t="s">
        <v>262</v>
      </c>
      <c r="Y94" s="172" t="str">
        <f>AS94</f>
        <v>Niveau non applicable</v>
      </c>
      <c r="Z94" s="172" t="str">
        <f>IF($Y94="Niveau non applicable","NA",$AR94)</f>
        <v>NA</v>
      </c>
      <c r="AA94" s="172" t="s">
        <v>296</v>
      </c>
      <c r="AB94" s="276" t="s">
        <v>638</v>
      </c>
      <c r="AC94" s="276" t="s">
        <v>605</v>
      </c>
      <c r="AD94" s="276" t="s">
        <v>279</v>
      </c>
      <c r="AE94" s="405" t="s">
        <v>280</v>
      </c>
      <c r="AF94" s="402" t="s">
        <v>281</v>
      </c>
      <c r="AG94" s="276" t="s">
        <v>527</v>
      </c>
      <c r="AH94" s="253" t="s">
        <v>101</v>
      </c>
      <c r="AJ94" s="42"/>
      <c r="AL94" s="507"/>
      <c r="AM94" s="511" t="s">
        <v>24</v>
      </c>
      <c r="AN94" s="511"/>
      <c r="AO94" s="501" t="s">
        <v>28</v>
      </c>
      <c r="AP94" s="501"/>
      <c r="AQ94" s="512">
        <f>SUM(AQ95:AQ99)</f>
        <v>1</v>
      </c>
      <c r="AR94" s="502">
        <f>IFERROR(SUM(AR95:AR99),"")</f>
        <v>0</v>
      </c>
      <c r="AS94" s="505" t="str">
        <f>IFERROR(IF(AR94=Présentation!$F$24,Présentation!$H$24,IF(AR94&lt;=Présentation!$F$20,Présentation!$G$20,IF(AR94&lt;=Présentation!$F$21,Présentation!$G$21,IF(AR94&lt;=Présentation!$F$22,Présentation!$G$22,Présentation!$G$23)))),"")</f>
        <v>Niveau non applicable</v>
      </c>
      <c r="AT94" s="513">
        <f>IF(AS94="Niveau Non applicable",1,0)</f>
        <v>1</v>
      </c>
      <c r="AU94" s="502">
        <f>IF(AS94="Niveau Non applicable",0,1/COUNTIF($AT$87:$AT$140,"=0"))</f>
        <v>0</v>
      </c>
      <c r="AV94" s="502">
        <f>AU94*AR94</f>
        <v>0</v>
      </c>
      <c r="AW94" s="501"/>
      <c r="AX94" s="502"/>
      <c r="AY94" s="501"/>
      <c r="AZ94" s="501"/>
      <c r="BC94" s="510" t="str">
        <f t="shared" si="21"/>
        <v xml:space="preserve"> </v>
      </c>
      <c r="BI94" s="37"/>
      <c r="BJ94" s="37"/>
      <c r="BK94" s="37"/>
      <c r="BL94" s="37"/>
      <c r="BM94" s="37"/>
      <c r="BN94" s="37"/>
      <c r="BO94" s="37"/>
      <c r="BP94" s="37"/>
      <c r="BQ94" s="37"/>
      <c r="BR94" s="37"/>
      <c r="BS94" s="37"/>
      <c r="BT94" s="37"/>
      <c r="BU94" s="37"/>
      <c r="BV94" s="37"/>
      <c r="BW94" s="37"/>
      <c r="BX94" s="37"/>
      <c r="BY94" s="37"/>
      <c r="BZ94" s="37"/>
      <c r="CA94" s="37"/>
      <c r="CB94" s="37"/>
      <c r="CC94" s="37"/>
      <c r="CD94" s="37"/>
      <c r="CE94" s="37"/>
    </row>
    <row r="95" spans="2:83" ht="70.5" customHeight="1" x14ac:dyDescent="0.25">
      <c r="B95" s="635" t="s">
        <v>258</v>
      </c>
      <c r="C95" s="388">
        <f>IF(ISERROR(C94+1),C93+1,C94+1)</f>
        <v>63</v>
      </c>
      <c r="D95" s="274" t="s">
        <v>331</v>
      </c>
      <c r="E95" s="642"/>
      <c r="F95" s="642"/>
      <c r="G95" s="642"/>
      <c r="H95" s="642"/>
      <c r="I95" s="642"/>
      <c r="J95" s="642"/>
      <c r="K95" s="642"/>
      <c r="L95" s="642"/>
      <c r="M95" s="642"/>
      <c r="N95" s="642"/>
      <c r="O95" s="642"/>
      <c r="P95" s="642"/>
      <c r="Q95" s="642"/>
      <c r="R95" s="642"/>
      <c r="S95" s="642"/>
      <c r="T95" s="642"/>
      <c r="U95" s="1"/>
      <c r="V95" s="375" t="s">
        <v>103</v>
      </c>
      <c r="W95" s="409" t="s">
        <v>330</v>
      </c>
      <c r="X95" s="1" t="str">
        <f>BC95</f>
        <v xml:space="preserve"> </v>
      </c>
      <c r="Y95" s="1"/>
      <c r="Z95" s="389" t="str">
        <f>IF($U95="Non","NA",$AO95)</f>
        <v/>
      </c>
      <c r="AA95" s="274" t="str">
        <f>IF(Exigences!Y95=Présentation!$L$20,'Plan d''actions'!E86,IF(Exigences!Y95=Présentation!$L$21,'Plan d''actions'!E86,"Pas de plan d'actions à suggérer!"))</f>
        <v>Pas de plan d'actions à suggérer!</v>
      </c>
      <c r="AB95" s="277"/>
      <c r="AC95" s="277"/>
      <c r="AD95" s="277"/>
      <c r="AE95" s="404"/>
      <c r="AF95" s="401"/>
      <c r="AG95" s="401"/>
      <c r="AH95" s="3" t="s">
        <v>61</v>
      </c>
      <c r="AJ95" s="42"/>
      <c r="AL95" s="507">
        <f>IF(AM95="Sous-Article","",IF(AL94="",AL93+1,AL94+1))</f>
        <v>63</v>
      </c>
      <c r="AM95" s="504">
        <f>Y95</f>
        <v>0</v>
      </c>
      <c r="AN95" s="504" t="str">
        <f>IFERROR((VLOOKUP($Y95,Présentation!$L$20:$M$24,2,FALSE)),"")</f>
        <v/>
      </c>
      <c r="AO95" s="502" t="str">
        <f>IFERROR(CHOOSE($AN95,"",Présentation!$D$20,Présentation!$D$21,Présentation!$D$22,Présentation!$D$23,Présentation!$D$24),"")</f>
        <v/>
      </c>
      <c r="AP95" s="516">
        <f>IF(AM95="Non applicable",1,0)</f>
        <v>0</v>
      </c>
      <c r="AQ95" s="512">
        <f>IF(AM95="Non applicable",0,1/COUNTIF($AP$95:$AP$99,"=0"))</f>
        <v>0.2</v>
      </c>
      <c r="AR95" s="502" t="str">
        <f>IFERROR(AO95*AQ95,"")</f>
        <v/>
      </c>
      <c r="AS95" s="502"/>
      <c r="AT95" s="502"/>
      <c r="AU95" s="502"/>
      <c r="AV95" s="502"/>
      <c r="AW95" s="501"/>
      <c r="AX95" s="502"/>
      <c r="AY95" s="501"/>
      <c r="AZ95" s="501"/>
      <c r="BC95" s="510" t="str">
        <f t="shared" si="21"/>
        <v xml:space="preserve"> </v>
      </c>
      <c r="BI95" s="37"/>
      <c r="BJ95" s="37"/>
      <c r="BK95" s="37"/>
      <c r="BL95" s="37"/>
      <c r="BM95" s="37"/>
      <c r="BN95" s="37"/>
      <c r="BO95" s="37"/>
      <c r="BP95" s="37"/>
      <c r="BQ95" s="37"/>
      <c r="BR95" s="37"/>
      <c r="BS95" s="37"/>
      <c r="BT95" s="37"/>
      <c r="BU95" s="37"/>
      <c r="BV95" s="37"/>
      <c r="BW95" s="37"/>
      <c r="BX95" s="37"/>
      <c r="BY95" s="37"/>
      <c r="BZ95" s="37"/>
      <c r="CA95" s="37"/>
      <c r="CB95" s="37"/>
      <c r="CC95" s="37"/>
      <c r="CD95" s="37"/>
      <c r="CE95" s="37"/>
    </row>
    <row r="96" spans="2:83" ht="57" customHeight="1" x14ac:dyDescent="0.25">
      <c r="B96" s="644"/>
      <c r="C96" s="388">
        <f>IF(ISERROR(C95+1),C94+1,C95+1)</f>
        <v>64</v>
      </c>
      <c r="D96" s="274" t="s">
        <v>408</v>
      </c>
      <c r="E96" s="642"/>
      <c r="F96" s="642"/>
      <c r="G96" s="642"/>
      <c r="H96" s="642"/>
      <c r="I96" s="642"/>
      <c r="J96" s="642"/>
      <c r="K96" s="642"/>
      <c r="L96" s="642"/>
      <c r="M96" s="642"/>
      <c r="N96" s="642"/>
      <c r="O96" s="642"/>
      <c r="P96" s="642"/>
      <c r="Q96" s="642"/>
      <c r="R96" s="642"/>
      <c r="S96" s="642"/>
      <c r="T96" s="642"/>
      <c r="U96" s="1"/>
      <c r="V96" s="375" t="s">
        <v>103</v>
      </c>
      <c r="W96" s="334" t="s">
        <v>332</v>
      </c>
      <c r="X96" s="1" t="str">
        <f>BC96</f>
        <v xml:space="preserve"> </v>
      </c>
      <c r="Y96" s="1"/>
      <c r="Z96" s="389" t="str">
        <f>IF($U96="Non","NA",$AO96)</f>
        <v/>
      </c>
      <c r="AA96" s="274" t="str">
        <f>IF(Exigences!Y96=Présentation!$L$20,'Plan d''actions'!E87,IF(Exigences!Y96=Présentation!$L$21,'Plan d''actions'!E87,"Pas de plan d'actions à suggérer!"))</f>
        <v>Pas de plan d'actions à suggérer!</v>
      </c>
      <c r="AB96" s="277"/>
      <c r="AC96" s="277"/>
      <c r="AD96" s="277"/>
      <c r="AE96" s="404"/>
      <c r="AF96" s="401"/>
      <c r="AG96" s="401"/>
      <c r="AH96" s="3" t="s">
        <v>61</v>
      </c>
      <c r="AJ96" s="42"/>
      <c r="AL96" s="507">
        <f>IF(AM96="Sous-Article","",IF(AL95="",AL94+1,AL95+1))</f>
        <v>64</v>
      </c>
      <c r="AM96" s="504">
        <f>Y96</f>
        <v>0</v>
      </c>
      <c r="AN96" s="504" t="str">
        <f>IFERROR((VLOOKUP($Y96,Présentation!$L$20:$M$24,2,FALSE)),"")</f>
        <v/>
      </c>
      <c r="AO96" s="502" t="str">
        <f>IFERROR(CHOOSE($AN96,"",Présentation!$D$20,Présentation!$D$21,Présentation!$D$22,Présentation!$D$23,Présentation!$D$24),"")</f>
        <v/>
      </c>
      <c r="AP96" s="516">
        <f>IF(AM96="Non applicable",1,0)</f>
        <v>0</v>
      </c>
      <c r="AQ96" s="512">
        <f>IF(AM96="Non applicable",0,1/COUNTIF($AP$95:$AP$99,"=0"))</f>
        <v>0.2</v>
      </c>
      <c r="AR96" s="502" t="str">
        <f>IFERROR(AO96*AQ96,"")</f>
        <v/>
      </c>
      <c r="AS96" s="502"/>
      <c r="AT96" s="502"/>
      <c r="AU96" s="502"/>
      <c r="AV96" s="502"/>
      <c r="AW96" s="501"/>
      <c r="AX96" s="502"/>
      <c r="AY96" s="501"/>
      <c r="AZ96" s="501"/>
      <c r="BC96" s="510" t="str">
        <f t="shared" si="21"/>
        <v xml:space="preserve"> </v>
      </c>
      <c r="BI96" s="37"/>
      <c r="BJ96" s="37"/>
      <c r="BK96" s="37"/>
      <c r="BL96" s="37"/>
      <c r="BM96" s="37"/>
      <c r="BN96" s="37"/>
      <c r="BO96" s="37"/>
      <c r="BP96" s="37"/>
      <c r="BQ96" s="37"/>
      <c r="BR96" s="37"/>
      <c r="BS96" s="37"/>
      <c r="BT96" s="37"/>
      <c r="BU96" s="37"/>
      <c r="BV96" s="37"/>
      <c r="BW96" s="37"/>
      <c r="BX96" s="37"/>
      <c r="BY96" s="37"/>
      <c r="BZ96" s="37"/>
      <c r="CA96" s="37"/>
      <c r="CB96" s="37"/>
      <c r="CC96" s="37"/>
      <c r="CD96" s="37"/>
      <c r="CE96" s="37"/>
    </row>
    <row r="97" spans="2:83" ht="54" customHeight="1" x14ac:dyDescent="0.25">
      <c r="B97" s="291" t="s">
        <v>257</v>
      </c>
      <c r="C97" s="388">
        <f>IF(ISERROR(C96+1),C95+1,C96+1)</f>
        <v>65</v>
      </c>
      <c r="D97" s="382" t="s">
        <v>423</v>
      </c>
      <c r="E97" s="642"/>
      <c r="F97" s="642"/>
      <c r="G97" s="642"/>
      <c r="H97" s="642"/>
      <c r="I97" s="642"/>
      <c r="J97" s="642"/>
      <c r="K97" s="642"/>
      <c r="L97" s="642"/>
      <c r="M97" s="642"/>
      <c r="N97" s="642"/>
      <c r="O97" s="642"/>
      <c r="P97" s="642"/>
      <c r="Q97" s="642"/>
      <c r="R97" s="642"/>
      <c r="S97" s="642"/>
      <c r="T97" s="642"/>
      <c r="U97" s="1"/>
      <c r="V97" s="375" t="s">
        <v>103</v>
      </c>
      <c r="W97" s="334" t="s">
        <v>333</v>
      </c>
      <c r="X97" s="1" t="str">
        <f>BC97</f>
        <v xml:space="preserve"> </v>
      </c>
      <c r="Y97" s="1"/>
      <c r="Z97" s="389" t="str">
        <f>IF($U97="Non","NA",$AO97)</f>
        <v/>
      </c>
      <c r="AA97" s="274" t="str">
        <f>IF(Exigences!Y97=Présentation!$L$20,'Plan d''actions'!E88,IF(Exigences!Y97=Présentation!$L$21,'Plan d''actions'!E88,"Pas de plan d'actions à suggérer!"))</f>
        <v>Pas de plan d'actions à suggérer!</v>
      </c>
      <c r="AB97" s="277"/>
      <c r="AC97" s="277"/>
      <c r="AD97" s="277"/>
      <c r="AE97" s="404"/>
      <c r="AF97" s="401"/>
      <c r="AG97" s="401"/>
      <c r="AH97" s="3" t="s">
        <v>61</v>
      </c>
      <c r="AJ97" s="42"/>
      <c r="AL97" s="507">
        <f>IF(AM97="Sous-Article","",IF(AL96="",AL95+1,AL96+1))</f>
        <v>65</v>
      </c>
      <c r="AM97" s="504">
        <f>Y97</f>
        <v>0</v>
      </c>
      <c r="AN97" s="504" t="str">
        <f>IFERROR((VLOOKUP($Y97,Présentation!$L$20:$M$24,2,FALSE)),"")</f>
        <v/>
      </c>
      <c r="AO97" s="502" t="str">
        <f>IFERROR(CHOOSE($AN97,"",Présentation!$D$20,Présentation!$D$21,Présentation!$D$22,Présentation!$D$23,Présentation!$D$24),"")</f>
        <v/>
      </c>
      <c r="AP97" s="516">
        <f>IF(AM97="Non applicable",1,0)</f>
        <v>0</v>
      </c>
      <c r="AQ97" s="512">
        <f>IF(AM97="Non applicable",0,1/COUNTIF($AP$95:$AP$99,"=0"))</f>
        <v>0.2</v>
      </c>
      <c r="AR97" s="502" t="str">
        <f>IFERROR(AO97*AQ97,"")</f>
        <v/>
      </c>
      <c r="AS97" s="502"/>
      <c r="AT97" s="502"/>
      <c r="AU97" s="502"/>
      <c r="AV97" s="502"/>
      <c r="AW97" s="501"/>
      <c r="AX97" s="502"/>
      <c r="AY97" s="501"/>
      <c r="AZ97" s="501"/>
      <c r="BC97" s="510" t="str">
        <f t="shared" si="21"/>
        <v xml:space="preserve"> </v>
      </c>
      <c r="BI97" s="37"/>
      <c r="BJ97" s="37"/>
      <c r="BK97" s="37"/>
      <c r="BL97" s="37"/>
      <c r="BM97" s="37"/>
      <c r="BN97" s="37"/>
      <c r="BO97" s="37"/>
      <c r="BP97" s="37"/>
      <c r="BQ97" s="37"/>
      <c r="BR97" s="37"/>
      <c r="BS97" s="37"/>
      <c r="BT97" s="37"/>
      <c r="BU97" s="37"/>
      <c r="BV97" s="37"/>
      <c r="BW97" s="37"/>
      <c r="BX97" s="37"/>
      <c r="BY97" s="37"/>
      <c r="BZ97" s="37"/>
      <c r="CA97" s="37"/>
      <c r="CB97" s="37"/>
      <c r="CC97" s="37"/>
      <c r="CD97" s="37"/>
      <c r="CE97" s="37"/>
    </row>
    <row r="98" spans="2:83" ht="56.25" x14ac:dyDescent="0.25">
      <c r="B98" s="333" t="s">
        <v>258</v>
      </c>
      <c r="C98" s="388">
        <f>IF(ISERROR(C97+1),C96+1,C97+1)</f>
        <v>66</v>
      </c>
      <c r="D98" s="274" t="s">
        <v>334</v>
      </c>
      <c r="E98" s="642"/>
      <c r="F98" s="642"/>
      <c r="G98" s="642"/>
      <c r="H98" s="642"/>
      <c r="I98" s="642"/>
      <c r="J98" s="642"/>
      <c r="K98" s="642"/>
      <c r="L98" s="642"/>
      <c r="M98" s="642"/>
      <c r="N98" s="642"/>
      <c r="O98" s="642"/>
      <c r="P98" s="642"/>
      <c r="Q98" s="642"/>
      <c r="R98" s="642"/>
      <c r="S98" s="642"/>
      <c r="T98" s="642"/>
      <c r="U98" s="1"/>
      <c r="V98" s="375" t="s">
        <v>102</v>
      </c>
      <c r="W98" s="638" t="s">
        <v>336</v>
      </c>
      <c r="X98" s="1" t="str">
        <f>BC98</f>
        <v xml:space="preserve"> </v>
      </c>
      <c r="Y98" s="1"/>
      <c r="Z98" s="389" t="str">
        <f>IF($U98="Non","NA",$AO98)</f>
        <v/>
      </c>
      <c r="AA98" s="274" t="str">
        <f>IF(Exigences!Y98=Présentation!$L$20,'Plan d''actions'!E89,IF(Exigences!Y98=Présentation!$L$21,'Plan d''actions'!E89,"Pas de plan d'actions à suggérer!"))</f>
        <v>Pas de plan d'actions à suggérer!</v>
      </c>
      <c r="AB98" s="277"/>
      <c r="AC98" s="277"/>
      <c r="AD98" s="277"/>
      <c r="AE98" s="404"/>
      <c r="AF98" s="401"/>
      <c r="AG98" s="401"/>
      <c r="AH98" s="3" t="s">
        <v>61</v>
      </c>
      <c r="AJ98" s="42"/>
      <c r="AL98" s="507">
        <f>IF(AM98="Sous-Article","",IF(AL97="",AL96+1,AL97+1))</f>
        <v>66</v>
      </c>
      <c r="AM98" s="504">
        <f>Y98</f>
        <v>0</v>
      </c>
      <c r="AN98" s="504" t="str">
        <f>IFERROR((VLOOKUP($Y98,Présentation!$L$20:$M$24,2,FALSE)),"")</f>
        <v/>
      </c>
      <c r="AO98" s="502" t="str">
        <f>IFERROR(CHOOSE($AN98,"",Présentation!$D$20,Présentation!$D$21,Présentation!$D$22,Présentation!$D$23,Présentation!$D$24),"")</f>
        <v/>
      </c>
      <c r="AP98" s="516">
        <f>IF(AM98="Non applicable",1,0)</f>
        <v>0</v>
      </c>
      <c r="AQ98" s="512">
        <f>IF(AM98="Non applicable",0,1/COUNTIF($AP$95:$AP$99,"=0"))</f>
        <v>0.2</v>
      </c>
      <c r="AR98" s="502" t="str">
        <f>IFERROR(AO98*AQ98,"")</f>
        <v/>
      </c>
      <c r="AS98" s="502"/>
      <c r="AT98" s="502"/>
      <c r="AU98" s="502"/>
      <c r="AV98" s="502"/>
      <c r="AW98" s="501"/>
      <c r="AX98" s="502"/>
      <c r="AY98" s="501"/>
      <c r="AZ98" s="501"/>
      <c r="BC98" s="510" t="str">
        <f t="shared" si="21"/>
        <v xml:space="preserve"> </v>
      </c>
      <c r="BI98" s="37"/>
      <c r="BJ98" s="37"/>
      <c r="BK98" s="37"/>
      <c r="BL98" s="37"/>
      <c r="BM98" s="37"/>
      <c r="BN98" s="37"/>
      <c r="BO98" s="37"/>
      <c r="BP98" s="37"/>
      <c r="BQ98" s="37"/>
      <c r="BR98" s="37"/>
      <c r="BS98" s="37"/>
      <c r="BT98" s="37"/>
      <c r="BU98" s="37"/>
      <c r="BV98" s="37"/>
      <c r="BW98" s="37"/>
      <c r="BX98" s="37"/>
      <c r="BY98" s="37"/>
      <c r="BZ98" s="37"/>
      <c r="CA98" s="37"/>
      <c r="CB98" s="37"/>
      <c r="CC98" s="37"/>
      <c r="CD98" s="37"/>
      <c r="CE98" s="37"/>
    </row>
    <row r="99" spans="2:83" ht="56.25" x14ac:dyDescent="0.25">
      <c r="B99" s="371" t="s">
        <v>258</v>
      </c>
      <c r="C99" s="388">
        <f>IF(ISERROR(#REF!+1),C98+1,#REF!+1)</f>
        <v>67</v>
      </c>
      <c r="D99" s="274" t="s">
        <v>335</v>
      </c>
      <c r="E99" s="643"/>
      <c r="F99" s="643"/>
      <c r="G99" s="643"/>
      <c r="H99" s="643"/>
      <c r="I99" s="643"/>
      <c r="J99" s="643"/>
      <c r="K99" s="643"/>
      <c r="L99" s="643"/>
      <c r="M99" s="643"/>
      <c r="N99" s="643"/>
      <c r="O99" s="643"/>
      <c r="P99" s="643"/>
      <c r="Q99" s="643"/>
      <c r="R99" s="643"/>
      <c r="S99" s="643"/>
      <c r="T99" s="643"/>
      <c r="U99" s="1"/>
      <c r="V99" s="375" t="s">
        <v>102</v>
      </c>
      <c r="W99" s="649"/>
      <c r="X99" s="1" t="str">
        <f>BC99</f>
        <v xml:space="preserve"> </v>
      </c>
      <c r="Y99" s="1"/>
      <c r="Z99" s="389" t="str">
        <f>IF($U99="Non","NA",$AO99)</f>
        <v/>
      </c>
      <c r="AA99" s="274" t="str">
        <f>IF(Exigences!Y99=Présentation!$L$20,'Plan d''actions'!E90,IF(Exigences!Y99=Présentation!$L$21,'Plan d''actions'!E90,"Pas de plan d'actions à suggérer!"))</f>
        <v>Pas de plan d'actions à suggérer!</v>
      </c>
      <c r="AB99" s="277"/>
      <c r="AC99" s="277"/>
      <c r="AD99" s="277"/>
      <c r="AE99" s="404"/>
      <c r="AF99" s="401"/>
      <c r="AG99" s="401"/>
      <c r="AH99" s="3" t="s">
        <v>61</v>
      </c>
      <c r="AJ99" s="42"/>
      <c r="AL99" s="507">
        <f>IF(AM99="Sous-Article","",IF(AL98="",AL97+1,AL98+1))</f>
        <v>67</v>
      </c>
      <c r="AM99" s="504">
        <f>Y99</f>
        <v>0</v>
      </c>
      <c r="AN99" s="504" t="str">
        <f>IFERROR((VLOOKUP($Y99,Présentation!$L$20:$M$24,2,FALSE)),"")</f>
        <v/>
      </c>
      <c r="AO99" s="502" t="str">
        <f>IFERROR(CHOOSE($AN99,"",Présentation!$D$20,Présentation!$D$21,Présentation!$D$22,Présentation!$D$23,Présentation!$D$24),"")</f>
        <v/>
      </c>
      <c r="AP99" s="516">
        <f>IF(AM99="Non applicable",1,0)</f>
        <v>0</v>
      </c>
      <c r="AQ99" s="512">
        <f>IF(AM99="Non applicable",0,1/COUNTIF($AP$95:$AP$99,"=0"))</f>
        <v>0.2</v>
      </c>
      <c r="AR99" s="502" t="str">
        <f>IFERROR(AO99*AQ99,"")</f>
        <v/>
      </c>
      <c r="AS99" s="502"/>
      <c r="AT99" s="502"/>
      <c r="AU99" s="502"/>
      <c r="AV99" s="502"/>
      <c r="AW99" s="501"/>
      <c r="AX99" s="502"/>
      <c r="AY99" s="501"/>
      <c r="AZ99" s="501"/>
      <c r="BC99" s="510" t="str">
        <f t="shared" si="21"/>
        <v xml:space="preserve"> </v>
      </c>
      <c r="BI99" s="37"/>
      <c r="BJ99" s="37"/>
      <c r="BK99" s="37"/>
      <c r="BL99" s="37"/>
      <c r="BM99" s="37"/>
      <c r="BN99" s="37"/>
      <c r="BO99" s="37"/>
      <c r="BP99" s="37"/>
      <c r="BQ99" s="37"/>
      <c r="BR99" s="37"/>
      <c r="BS99" s="37"/>
      <c r="BT99" s="37"/>
      <c r="BU99" s="37"/>
      <c r="BV99" s="37"/>
      <c r="BW99" s="37"/>
      <c r="BX99" s="37"/>
      <c r="BY99" s="37"/>
      <c r="BZ99" s="37"/>
      <c r="CA99" s="37"/>
      <c r="CB99" s="37"/>
      <c r="CC99" s="37"/>
      <c r="CD99" s="37"/>
      <c r="CE99" s="37"/>
    </row>
    <row r="100" spans="2:83" ht="30" customHeight="1" x14ac:dyDescent="0.25">
      <c r="B100" s="224"/>
      <c r="C100" s="224" t="s">
        <v>157</v>
      </c>
      <c r="D100" s="231" t="s">
        <v>158</v>
      </c>
      <c r="E100" s="641"/>
      <c r="F100" s="641"/>
      <c r="G100" s="641"/>
      <c r="H100" s="641"/>
      <c r="I100" s="641"/>
      <c r="J100" s="641"/>
      <c r="K100" s="641"/>
      <c r="L100" s="641"/>
      <c r="M100" s="641"/>
      <c r="N100" s="641"/>
      <c r="O100" s="641"/>
      <c r="P100" s="641"/>
      <c r="Q100" s="641"/>
      <c r="R100" s="641"/>
      <c r="S100" s="641"/>
      <c r="T100" s="641"/>
      <c r="U100" s="172" t="s">
        <v>261</v>
      </c>
      <c r="V100" s="172" t="s">
        <v>104</v>
      </c>
      <c r="W100" s="172" t="s">
        <v>188</v>
      </c>
      <c r="X100" s="172" t="s">
        <v>262</v>
      </c>
      <c r="Y100" s="172" t="str">
        <f>AS100</f>
        <v>Niveau non applicable</v>
      </c>
      <c r="Z100" s="172" t="str">
        <f>IF($Y100="Niveau non applicable","NA",$AR100)</f>
        <v>NA</v>
      </c>
      <c r="AA100" s="172" t="s">
        <v>296</v>
      </c>
      <c r="AB100" s="276" t="s">
        <v>638</v>
      </c>
      <c r="AC100" s="276" t="s">
        <v>605</v>
      </c>
      <c r="AD100" s="276" t="s">
        <v>279</v>
      </c>
      <c r="AE100" s="405" t="s">
        <v>280</v>
      </c>
      <c r="AF100" s="402" t="s">
        <v>281</v>
      </c>
      <c r="AG100" s="276" t="s">
        <v>527</v>
      </c>
      <c r="AH100" s="253" t="s">
        <v>101</v>
      </c>
      <c r="AJ100" s="42"/>
      <c r="AL100" s="507" t="str">
        <f>IF(AM100="Sous-Article","",IF(AL99="",AL97+1,AL99+1))</f>
        <v/>
      </c>
      <c r="AM100" s="511" t="s">
        <v>24</v>
      </c>
      <c r="AN100" s="511"/>
      <c r="AO100" s="501" t="s">
        <v>28</v>
      </c>
      <c r="AP100" s="501"/>
      <c r="AQ100" s="512">
        <f>SUM(AQ101:AQ110)</f>
        <v>0.99999999999999989</v>
      </c>
      <c r="AR100" s="502">
        <f>IFERROR(SUM(AR101:AR110),"")</f>
        <v>0</v>
      </c>
      <c r="AS100" s="505" t="str">
        <f>IFERROR(IF(AR100=Présentation!$F$24,Présentation!$H$24,IF(AR100&lt;=Présentation!$F$20,Présentation!$G$20,IF(AR100&lt;=Présentation!$F$21,Présentation!$G$21,IF(AR100&lt;=Présentation!$F$22,Présentation!$G$22,Présentation!$G$23)))),"")</f>
        <v>Niveau non applicable</v>
      </c>
      <c r="AT100" s="513">
        <f>IF(AS100="Niveau Non applicable",1,0)</f>
        <v>1</v>
      </c>
      <c r="AU100" s="502">
        <f>IF(AS100="Niveau Non applicable",0,1/COUNTIF($AT$87:$AT$140,"=0"))</f>
        <v>0</v>
      </c>
      <c r="AV100" s="502">
        <f>AU100*AR100</f>
        <v>0</v>
      </c>
      <c r="AW100" s="501"/>
      <c r="AX100" s="502"/>
      <c r="AY100" s="501"/>
      <c r="AZ100" s="501"/>
      <c r="BC100" s="510" t="str">
        <f t="shared" si="21"/>
        <v xml:space="preserve"> </v>
      </c>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row>
    <row r="101" spans="2:83" ht="30" customHeight="1" x14ac:dyDescent="0.25">
      <c r="B101" s="635" t="s">
        <v>258</v>
      </c>
      <c r="C101" s="388">
        <f>IF(ISERROR(C100+1),C99+1,C100+1)</f>
        <v>68</v>
      </c>
      <c r="D101" s="274" t="s">
        <v>337</v>
      </c>
      <c r="E101" s="642"/>
      <c r="F101" s="642"/>
      <c r="G101" s="642"/>
      <c r="H101" s="642"/>
      <c r="I101" s="642"/>
      <c r="J101" s="642"/>
      <c r="K101" s="642"/>
      <c r="L101" s="642"/>
      <c r="M101" s="642"/>
      <c r="N101" s="642"/>
      <c r="O101" s="642"/>
      <c r="P101" s="642"/>
      <c r="Q101" s="642"/>
      <c r="R101" s="642"/>
      <c r="S101" s="642"/>
      <c r="T101" s="642"/>
      <c r="U101" s="1"/>
      <c r="V101" s="375" t="s">
        <v>103</v>
      </c>
      <c r="W101" s="370" t="s">
        <v>339</v>
      </c>
      <c r="X101" s="1" t="str">
        <f t="shared" ref="X101:X110" si="28">BC101</f>
        <v xml:space="preserve"> </v>
      </c>
      <c r="Y101" s="1"/>
      <c r="Z101" s="389" t="str">
        <f t="shared" ref="Z101:Z110" si="29">IF($U101="Non","NA",$AO101)</f>
        <v/>
      </c>
      <c r="AA101" s="274" t="str">
        <f>IF(Exigences!Y101=Présentation!$L$20,'Plan d''actions'!E92,IF(Exigences!Y101=Présentation!$L$21,'Plan d''actions'!E92,"Pas de plan d'actions à suggérer!"))</f>
        <v>Pas de plan d'actions à suggérer!</v>
      </c>
      <c r="AB101" s="277"/>
      <c r="AC101" s="277"/>
      <c r="AD101" s="277"/>
      <c r="AE101" s="404"/>
      <c r="AF101" s="401"/>
      <c r="AG101" s="401"/>
      <c r="AH101" s="3" t="s">
        <v>61</v>
      </c>
      <c r="AJ101" s="42"/>
      <c r="AL101" s="507">
        <f t="shared" ref="AL101:AL110" si="30">IF(AM101="Sous-Article","",IF(AL100="",AL99+1,AL100+1))</f>
        <v>68</v>
      </c>
      <c r="AM101" s="504">
        <f t="shared" ref="AM101:AM110" si="31">Y101</f>
        <v>0</v>
      </c>
      <c r="AN101" s="504" t="str">
        <f>IFERROR((VLOOKUP($Y101,Présentation!$L$20:$M$24,2,FALSE)),"")</f>
        <v/>
      </c>
      <c r="AO101" s="502" t="str">
        <f>IFERROR(CHOOSE($AN101,"",Présentation!$D$20,Présentation!$D$21,Présentation!$D$22,Présentation!$D$23,Présentation!$D$24),"")</f>
        <v/>
      </c>
      <c r="AP101" s="516">
        <f>IF(AM101="Non applicable",1,0)</f>
        <v>0</v>
      </c>
      <c r="AQ101" s="512">
        <f t="shared" ref="AQ101:AQ110" si="32">IF(AM101="Non applicable",0,1/COUNTIF($AP$101:$AP$110,"=0"))</f>
        <v>0.1</v>
      </c>
      <c r="AR101" s="502" t="str">
        <f>IFERROR(AO101*AQ101,"")</f>
        <v/>
      </c>
      <c r="AS101" s="502"/>
      <c r="AT101" s="502"/>
      <c r="AU101" s="502"/>
      <c r="AV101" s="502"/>
      <c r="AW101" s="501"/>
      <c r="AX101" s="502"/>
      <c r="AY101" s="501"/>
      <c r="AZ101" s="501"/>
      <c r="BC101" s="510" t="str">
        <f t="shared" si="21"/>
        <v xml:space="preserve"> </v>
      </c>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row>
    <row r="102" spans="2:83" ht="47.25" customHeight="1" x14ac:dyDescent="0.25">
      <c r="B102" s="644"/>
      <c r="C102" s="388">
        <f>IF(ISERROR(C101+1),C100+1,C101+1)</f>
        <v>69</v>
      </c>
      <c r="D102" s="274" t="s">
        <v>440</v>
      </c>
      <c r="E102" s="642"/>
      <c r="F102" s="642"/>
      <c r="G102" s="642"/>
      <c r="H102" s="642"/>
      <c r="I102" s="642"/>
      <c r="J102" s="642"/>
      <c r="K102" s="642"/>
      <c r="L102" s="642"/>
      <c r="M102" s="642"/>
      <c r="N102" s="642"/>
      <c r="O102" s="642"/>
      <c r="P102" s="642"/>
      <c r="Q102" s="642"/>
      <c r="R102" s="642"/>
      <c r="S102" s="642"/>
      <c r="T102" s="642"/>
      <c r="U102" s="1"/>
      <c r="V102" s="375" t="s">
        <v>103</v>
      </c>
      <c r="W102" s="638" t="s">
        <v>340</v>
      </c>
      <c r="X102" s="1" t="str">
        <f t="shared" si="28"/>
        <v xml:space="preserve"> </v>
      </c>
      <c r="Y102" s="1"/>
      <c r="Z102" s="389" t="str">
        <f t="shared" si="29"/>
        <v/>
      </c>
      <c r="AA102" s="274" t="str">
        <f>IF(Exigences!Y102=Présentation!$L$20,'Plan d''actions'!E93,IF(Exigences!Y102=Présentation!$L$21,'Plan d''actions'!E93,"Pas de plan d'actions à suggérer!"))</f>
        <v>Pas de plan d'actions à suggérer!</v>
      </c>
      <c r="AB102" s="277"/>
      <c r="AC102" s="277"/>
      <c r="AD102" s="277"/>
      <c r="AE102" s="404"/>
      <c r="AF102" s="401"/>
      <c r="AG102" s="401"/>
      <c r="AH102" s="3" t="s">
        <v>61</v>
      </c>
      <c r="AJ102" s="42"/>
      <c r="AL102" s="507">
        <f t="shared" si="30"/>
        <v>69</v>
      </c>
      <c r="AM102" s="504">
        <f t="shared" si="31"/>
        <v>0</v>
      </c>
      <c r="AN102" s="504" t="str">
        <f>IFERROR((VLOOKUP($Y102,Présentation!$L$20:$M$24,2,FALSE)),"")</f>
        <v/>
      </c>
      <c r="AO102" s="502" t="str">
        <f>IFERROR(CHOOSE($AN102,"",Présentation!$D$20,Présentation!$D$21,Présentation!$D$22,Présentation!$D$23,Présentation!$D$24),"")</f>
        <v/>
      </c>
      <c r="AP102" s="516">
        <f>IF(AM102="Non applicable",1,0)</f>
        <v>0</v>
      </c>
      <c r="AQ102" s="512">
        <f t="shared" si="32"/>
        <v>0.1</v>
      </c>
      <c r="AR102" s="502" t="str">
        <f>IFERROR(AO102*AQ102,"")</f>
        <v/>
      </c>
      <c r="AS102" s="502"/>
      <c r="AT102" s="502"/>
      <c r="AU102" s="502"/>
      <c r="AV102" s="502"/>
      <c r="AW102" s="501"/>
      <c r="AX102" s="502"/>
      <c r="AY102" s="501"/>
      <c r="AZ102" s="501"/>
      <c r="BC102" s="510" t="str">
        <f t="shared" si="21"/>
        <v xml:space="preserve"> </v>
      </c>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row>
    <row r="103" spans="2:83" ht="56.25" customHeight="1" x14ac:dyDescent="0.25">
      <c r="B103" s="291" t="s">
        <v>257</v>
      </c>
      <c r="C103" s="388">
        <f t="shared" ref="C103:C109" si="33">IF(ISERROR(C102+1),C101+1,C102+1)</f>
        <v>70</v>
      </c>
      <c r="D103" s="382" t="s">
        <v>424</v>
      </c>
      <c r="E103" s="642"/>
      <c r="F103" s="642"/>
      <c r="G103" s="642"/>
      <c r="H103" s="642"/>
      <c r="I103" s="642"/>
      <c r="J103" s="642"/>
      <c r="K103" s="642"/>
      <c r="L103" s="642"/>
      <c r="M103" s="642"/>
      <c r="N103" s="642"/>
      <c r="O103" s="642"/>
      <c r="P103" s="642"/>
      <c r="Q103" s="642"/>
      <c r="R103" s="642"/>
      <c r="S103" s="642"/>
      <c r="T103" s="642"/>
      <c r="U103" s="1"/>
      <c r="V103" s="375" t="s">
        <v>103</v>
      </c>
      <c r="W103" s="649"/>
      <c r="X103" s="1" t="str">
        <f t="shared" si="28"/>
        <v xml:space="preserve"> </v>
      </c>
      <c r="Y103" s="1"/>
      <c r="Z103" s="389" t="str">
        <f t="shared" si="29"/>
        <v/>
      </c>
      <c r="AA103" s="274" t="str">
        <f>IF(Exigences!Y103=Présentation!$L$20,'Plan d''actions'!E94,IF(Exigences!Y103=Présentation!$L$21,'Plan d''actions'!E94,"Pas de plan d'actions à suggérer!"))</f>
        <v>Pas de plan d'actions à suggérer!</v>
      </c>
      <c r="AB103" s="277"/>
      <c r="AC103" s="277"/>
      <c r="AD103" s="277"/>
      <c r="AE103" s="404"/>
      <c r="AF103" s="401"/>
      <c r="AG103" s="401"/>
      <c r="AH103" s="3" t="s">
        <v>61</v>
      </c>
      <c r="AJ103" s="42"/>
      <c r="AL103" s="507">
        <f t="shared" si="30"/>
        <v>70</v>
      </c>
      <c r="AM103" s="504">
        <f t="shared" si="31"/>
        <v>0</v>
      </c>
      <c r="AN103" s="504" t="str">
        <f>IFERROR((VLOOKUP($Y103,Présentation!$L$20:$M$24,2,FALSE)),"")</f>
        <v/>
      </c>
      <c r="AO103" s="502" t="str">
        <f>IFERROR(CHOOSE($AN103,"",Présentation!$D$20,Présentation!$D$21,Présentation!$D$22,Présentation!$D$23,Présentation!$D$24),"")</f>
        <v/>
      </c>
      <c r="AP103" s="516">
        <f t="shared" ref="AP103:AP110" si="34">IF(AM103="Non applicable",1,0)</f>
        <v>0</v>
      </c>
      <c r="AQ103" s="512">
        <f t="shared" si="32"/>
        <v>0.1</v>
      </c>
      <c r="AR103" s="502" t="str">
        <f t="shared" ref="AR103:AR110" si="35">IFERROR(AO103*AQ103,"")</f>
        <v/>
      </c>
      <c r="AS103" s="502"/>
      <c r="AT103" s="502"/>
      <c r="AU103" s="502"/>
      <c r="AV103" s="502"/>
      <c r="AW103" s="501"/>
      <c r="AX103" s="502"/>
      <c r="AY103" s="501"/>
      <c r="AZ103" s="501"/>
      <c r="BC103" s="510" t="str">
        <f t="shared" si="21"/>
        <v xml:space="preserve"> </v>
      </c>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row>
    <row r="104" spans="2:83" ht="56.25" customHeight="1" x14ac:dyDescent="0.25">
      <c r="B104" s="650" t="s">
        <v>258</v>
      </c>
      <c r="C104" s="388">
        <f t="shared" si="33"/>
        <v>71</v>
      </c>
      <c r="D104" s="274" t="s">
        <v>341</v>
      </c>
      <c r="E104" s="642"/>
      <c r="F104" s="642"/>
      <c r="G104" s="642"/>
      <c r="H104" s="642"/>
      <c r="I104" s="642"/>
      <c r="J104" s="642"/>
      <c r="K104" s="642"/>
      <c r="L104" s="642"/>
      <c r="M104" s="642"/>
      <c r="N104" s="642"/>
      <c r="O104" s="642"/>
      <c r="P104" s="642"/>
      <c r="Q104" s="642"/>
      <c r="R104" s="642"/>
      <c r="S104" s="642"/>
      <c r="T104" s="642"/>
      <c r="U104" s="1"/>
      <c r="V104" s="375" t="s">
        <v>102</v>
      </c>
      <c r="W104" s="370" t="s">
        <v>430</v>
      </c>
      <c r="X104" s="1" t="str">
        <f t="shared" si="28"/>
        <v xml:space="preserve"> </v>
      </c>
      <c r="Y104" s="1"/>
      <c r="Z104" s="389" t="str">
        <f t="shared" si="29"/>
        <v/>
      </c>
      <c r="AA104" s="274" t="str">
        <f>IF(Exigences!Y104=Présentation!$L$20,'Plan d''actions'!E95,IF(Exigences!Y104=Présentation!$L$21,'Plan d''actions'!E95,"Pas de plan d'actions à suggérer!"))</f>
        <v>Pas de plan d'actions à suggérer!</v>
      </c>
      <c r="AB104" s="277"/>
      <c r="AC104" s="277"/>
      <c r="AD104" s="277"/>
      <c r="AE104" s="404"/>
      <c r="AF104" s="401"/>
      <c r="AG104" s="401"/>
      <c r="AH104" s="3" t="s">
        <v>61</v>
      </c>
      <c r="AJ104" s="42"/>
      <c r="AL104" s="507">
        <f t="shared" si="30"/>
        <v>71</v>
      </c>
      <c r="AM104" s="504">
        <f t="shared" si="31"/>
        <v>0</v>
      </c>
      <c r="AN104" s="504" t="str">
        <f>IFERROR((VLOOKUP($Y104,Présentation!$L$20:$M$24,2,FALSE)),"")</f>
        <v/>
      </c>
      <c r="AO104" s="502" t="str">
        <f>IFERROR(CHOOSE($AN104,"",Présentation!$D$20,Présentation!$D$21,Présentation!$D$22,Présentation!$D$23,Présentation!$D$24),"")</f>
        <v/>
      </c>
      <c r="AP104" s="516">
        <f t="shared" si="34"/>
        <v>0</v>
      </c>
      <c r="AQ104" s="512">
        <f t="shared" si="32"/>
        <v>0.1</v>
      </c>
      <c r="AR104" s="502" t="str">
        <f t="shared" si="35"/>
        <v/>
      </c>
      <c r="AS104" s="502"/>
      <c r="AT104" s="502"/>
      <c r="AU104" s="502"/>
      <c r="AV104" s="502"/>
      <c r="AW104" s="501"/>
      <c r="AX104" s="502"/>
      <c r="AY104" s="501"/>
      <c r="AZ104" s="501"/>
      <c r="BC104" s="510" t="str">
        <f t="shared" si="21"/>
        <v xml:space="preserve"> </v>
      </c>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row>
    <row r="105" spans="2:83" ht="38.25" customHeight="1" x14ac:dyDescent="0.25">
      <c r="B105" s="636"/>
      <c r="C105" s="388">
        <f t="shared" si="33"/>
        <v>72</v>
      </c>
      <c r="D105" s="274" t="s">
        <v>345</v>
      </c>
      <c r="E105" s="642"/>
      <c r="F105" s="642"/>
      <c r="G105" s="642"/>
      <c r="H105" s="642"/>
      <c r="I105" s="642"/>
      <c r="J105" s="642"/>
      <c r="K105" s="642"/>
      <c r="L105" s="642"/>
      <c r="M105" s="642"/>
      <c r="N105" s="642"/>
      <c r="O105" s="642"/>
      <c r="P105" s="642"/>
      <c r="Q105" s="642"/>
      <c r="R105" s="642"/>
      <c r="S105" s="642"/>
      <c r="T105" s="642"/>
      <c r="U105" s="1"/>
      <c r="V105" s="375" t="s">
        <v>102</v>
      </c>
      <c r="W105" s="370" t="s">
        <v>347</v>
      </c>
      <c r="X105" s="1" t="str">
        <f t="shared" si="28"/>
        <v xml:space="preserve"> </v>
      </c>
      <c r="Y105" s="1"/>
      <c r="Z105" s="389" t="str">
        <f t="shared" si="29"/>
        <v/>
      </c>
      <c r="AA105" s="274" t="str">
        <f>IF(Exigences!Y105=Présentation!$L$20,'Plan d''actions'!E96,IF(Exigences!Y105=Présentation!$L$21,'Plan d''actions'!E96,"Pas de plan d'actions à suggérer!"))</f>
        <v>Pas de plan d'actions à suggérer!</v>
      </c>
      <c r="AB105" s="277"/>
      <c r="AC105" s="277"/>
      <c r="AD105" s="277"/>
      <c r="AE105" s="404"/>
      <c r="AF105" s="401"/>
      <c r="AG105" s="401"/>
      <c r="AH105" s="3" t="s">
        <v>61</v>
      </c>
      <c r="AJ105" s="42"/>
      <c r="AL105" s="507">
        <f t="shared" si="30"/>
        <v>72</v>
      </c>
      <c r="AM105" s="504">
        <f t="shared" si="31"/>
        <v>0</v>
      </c>
      <c r="AN105" s="504" t="str">
        <f>IFERROR((VLOOKUP($Y105,Présentation!$L$20:$M$24,2,FALSE)),"")</f>
        <v/>
      </c>
      <c r="AO105" s="502" t="str">
        <f>IFERROR(CHOOSE($AN105,"",Présentation!$D$20,Présentation!$D$21,Présentation!$D$22,Présentation!$D$23,Présentation!$D$24),"")</f>
        <v/>
      </c>
      <c r="AP105" s="516">
        <f t="shared" si="34"/>
        <v>0</v>
      </c>
      <c r="AQ105" s="512">
        <f t="shared" si="32"/>
        <v>0.1</v>
      </c>
      <c r="AR105" s="502" t="str">
        <f t="shared" si="35"/>
        <v/>
      </c>
      <c r="AS105" s="502"/>
      <c r="AT105" s="502"/>
      <c r="AU105" s="502"/>
      <c r="AV105" s="502"/>
      <c r="AW105" s="501"/>
      <c r="AX105" s="502"/>
      <c r="AY105" s="501"/>
      <c r="AZ105" s="501"/>
      <c r="BC105" s="510" t="str">
        <f t="shared" si="21"/>
        <v xml:space="preserve"> </v>
      </c>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row>
    <row r="106" spans="2:83" ht="56.25" x14ac:dyDescent="0.25">
      <c r="B106" s="291" t="s">
        <v>258</v>
      </c>
      <c r="C106" s="388">
        <f>IF(ISERROR(#REF!+1),C105+1,#REF!+1)</f>
        <v>73</v>
      </c>
      <c r="D106" s="274" t="s">
        <v>441</v>
      </c>
      <c r="E106" s="642"/>
      <c r="F106" s="642"/>
      <c r="G106" s="642"/>
      <c r="H106" s="642"/>
      <c r="I106" s="642"/>
      <c r="J106" s="642"/>
      <c r="K106" s="642"/>
      <c r="L106" s="642"/>
      <c r="M106" s="642"/>
      <c r="N106" s="642"/>
      <c r="O106" s="642"/>
      <c r="P106" s="642"/>
      <c r="Q106" s="642"/>
      <c r="R106" s="642"/>
      <c r="S106" s="642"/>
      <c r="T106" s="642"/>
      <c r="U106" s="1"/>
      <c r="V106" s="375" t="s">
        <v>102</v>
      </c>
      <c r="W106" s="370" t="s">
        <v>342</v>
      </c>
      <c r="X106" s="1" t="str">
        <f t="shared" si="28"/>
        <v xml:space="preserve"> </v>
      </c>
      <c r="Y106" s="1"/>
      <c r="Z106" s="389" t="str">
        <f t="shared" si="29"/>
        <v/>
      </c>
      <c r="AA106" s="274" t="str">
        <f>IF(Exigences!Y106=Présentation!$L$20,'Plan d''actions'!E97,IF(Exigences!Y106=Présentation!$L$21,'Plan d''actions'!E97,"Pas de plan d'actions à suggérer!"))</f>
        <v>Pas de plan d'actions à suggérer!</v>
      </c>
      <c r="AB106" s="277"/>
      <c r="AC106" s="277"/>
      <c r="AD106" s="277"/>
      <c r="AE106" s="404"/>
      <c r="AF106" s="401"/>
      <c r="AG106" s="401"/>
      <c r="AH106" s="3" t="s">
        <v>61</v>
      </c>
      <c r="AJ106" s="42"/>
      <c r="AL106" s="507">
        <f>IF(AM106="Sous-Article","",IF(AL105="",AL104+1,AL105+1))</f>
        <v>73</v>
      </c>
      <c r="AM106" s="504">
        <f t="shared" si="31"/>
        <v>0</v>
      </c>
      <c r="AN106" s="504" t="str">
        <f>IFERROR((VLOOKUP($Y106,Présentation!$L$20:$M$24,2,FALSE)),"")</f>
        <v/>
      </c>
      <c r="AO106" s="502" t="str">
        <f>IFERROR(CHOOSE($AN106,"",Présentation!$D$20,Présentation!$D$21,Présentation!$D$22,Présentation!$D$23,Présentation!$D$24),"")</f>
        <v/>
      </c>
      <c r="AP106" s="516">
        <f t="shared" si="34"/>
        <v>0</v>
      </c>
      <c r="AQ106" s="512">
        <f t="shared" si="32"/>
        <v>0.1</v>
      </c>
      <c r="AR106" s="502" t="str">
        <f t="shared" si="35"/>
        <v/>
      </c>
      <c r="AS106" s="502"/>
      <c r="AT106" s="502"/>
      <c r="AU106" s="502"/>
      <c r="AV106" s="502"/>
      <c r="AW106" s="501"/>
      <c r="AX106" s="502"/>
      <c r="AY106" s="501"/>
      <c r="AZ106" s="501"/>
      <c r="BC106" s="510" t="str">
        <f t="shared" si="21"/>
        <v xml:space="preserve"> </v>
      </c>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row>
    <row r="107" spans="2:83" ht="34.5" customHeight="1" x14ac:dyDescent="0.25">
      <c r="B107" s="650" t="s">
        <v>257</v>
      </c>
      <c r="C107" s="388">
        <f>IF(ISERROR(C106+1),#REF!+1,C106+1)</f>
        <v>74</v>
      </c>
      <c r="D107" s="382" t="s">
        <v>425</v>
      </c>
      <c r="E107" s="642"/>
      <c r="F107" s="642"/>
      <c r="G107" s="642"/>
      <c r="H107" s="642"/>
      <c r="I107" s="642"/>
      <c r="J107" s="642"/>
      <c r="K107" s="642"/>
      <c r="L107" s="642"/>
      <c r="M107" s="642"/>
      <c r="N107" s="642"/>
      <c r="O107" s="642"/>
      <c r="P107" s="642"/>
      <c r="Q107" s="642"/>
      <c r="R107" s="642"/>
      <c r="S107" s="642"/>
      <c r="T107" s="642"/>
      <c r="U107" s="1"/>
      <c r="V107" s="375" t="s">
        <v>103</v>
      </c>
      <c r="W107" s="370" t="s">
        <v>343</v>
      </c>
      <c r="X107" s="1" t="str">
        <f t="shared" si="28"/>
        <v xml:space="preserve"> </v>
      </c>
      <c r="Y107" s="1"/>
      <c r="Z107" s="389" t="str">
        <f t="shared" si="29"/>
        <v/>
      </c>
      <c r="AA107" s="274" t="str">
        <f>IF(Exigences!Y107=Présentation!$L$20,'Plan d''actions'!E98,IF(Exigences!Y107=Présentation!$L$21,'Plan d''actions'!E98,"Pas de plan d'actions à suggérer!"))</f>
        <v>Pas de plan d'actions à suggérer!</v>
      </c>
      <c r="AB107" s="277"/>
      <c r="AC107" s="277"/>
      <c r="AD107" s="277"/>
      <c r="AE107" s="404"/>
      <c r="AF107" s="401"/>
      <c r="AG107" s="401"/>
      <c r="AH107" s="3" t="s">
        <v>61</v>
      </c>
      <c r="AJ107" s="42"/>
      <c r="AL107" s="507">
        <f>IF(AM107="Sous-Article","",IF(AL106="",#REF!+1,AL106+1))</f>
        <v>74</v>
      </c>
      <c r="AM107" s="504">
        <f t="shared" si="31"/>
        <v>0</v>
      </c>
      <c r="AN107" s="504" t="str">
        <f>IFERROR((VLOOKUP($Y107,Présentation!$L$20:$M$24,2,FALSE)),"")</f>
        <v/>
      </c>
      <c r="AO107" s="502" t="str">
        <f>IFERROR(CHOOSE($AN107,"",Présentation!$D$20,Présentation!$D$21,Présentation!$D$22,Présentation!$D$23,Présentation!$D$24),"")</f>
        <v/>
      </c>
      <c r="AP107" s="516">
        <f t="shared" si="34"/>
        <v>0</v>
      </c>
      <c r="AQ107" s="512">
        <f t="shared" si="32"/>
        <v>0.1</v>
      </c>
      <c r="AR107" s="502" t="str">
        <f t="shared" si="35"/>
        <v/>
      </c>
      <c r="AS107" s="502"/>
      <c r="AT107" s="502"/>
      <c r="AU107" s="502"/>
      <c r="AV107" s="502"/>
      <c r="AW107" s="501"/>
      <c r="AX107" s="502"/>
      <c r="AY107" s="501"/>
      <c r="AZ107" s="501"/>
      <c r="BC107" s="510" t="str">
        <f t="shared" si="21"/>
        <v xml:space="preserve"> </v>
      </c>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row>
    <row r="108" spans="2:83" ht="48.75" customHeight="1" x14ac:dyDescent="0.25">
      <c r="B108" s="637"/>
      <c r="C108" s="388">
        <f t="shared" si="33"/>
        <v>75</v>
      </c>
      <c r="D108" s="382" t="s">
        <v>410</v>
      </c>
      <c r="E108" s="642"/>
      <c r="F108" s="642"/>
      <c r="G108" s="642"/>
      <c r="H108" s="642"/>
      <c r="I108" s="642"/>
      <c r="J108" s="642"/>
      <c r="K108" s="642"/>
      <c r="L108" s="642"/>
      <c r="M108" s="642"/>
      <c r="N108" s="642"/>
      <c r="O108" s="642"/>
      <c r="P108" s="642"/>
      <c r="Q108" s="642"/>
      <c r="R108" s="642"/>
      <c r="S108" s="642"/>
      <c r="T108" s="642"/>
      <c r="U108" s="1"/>
      <c r="V108" s="375" t="s">
        <v>102</v>
      </c>
      <c r="W108" s="370" t="s">
        <v>344</v>
      </c>
      <c r="X108" s="1" t="str">
        <f t="shared" si="28"/>
        <v xml:space="preserve"> </v>
      </c>
      <c r="Y108" s="1"/>
      <c r="Z108" s="389" t="str">
        <f t="shared" si="29"/>
        <v/>
      </c>
      <c r="AA108" s="274" t="str">
        <f>IF(Exigences!Y108=Présentation!$L$20,'Plan d''actions'!E99,IF(Exigences!Y108=Présentation!$L$21,'Plan d''actions'!E99,"Pas de plan d'actions à suggérer!"))</f>
        <v>Pas de plan d'actions à suggérer!</v>
      </c>
      <c r="AB108" s="277"/>
      <c r="AC108" s="277"/>
      <c r="AD108" s="277"/>
      <c r="AE108" s="404"/>
      <c r="AF108" s="401"/>
      <c r="AG108" s="401"/>
      <c r="AH108" s="3" t="s">
        <v>61</v>
      </c>
      <c r="AJ108" s="42"/>
      <c r="AL108" s="507">
        <f t="shared" si="30"/>
        <v>75</v>
      </c>
      <c r="AM108" s="504">
        <f t="shared" si="31"/>
        <v>0</v>
      </c>
      <c r="AN108" s="504" t="str">
        <f>IFERROR((VLOOKUP($Y108,Présentation!$L$20:$M$24,2,FALSE)),"")</f>
        <v/>
      </c>
      <c r="AO108" s="502" t="str">
        <f>IFERROR(CHOOSE($AN108,"",Présentation!$D$20,Présentation!$D$21,Présentation!$D$22,Présentation!$D$23,Présentation!$D$24),"")</f>
        <v/>
      </c>
      <c r="AP108" s="516">
        <f t="shared" si="34"/>
        <v>0</v>
      </c>
      <c r="AQ108" s="512">
        <f t="shared" si="32"/>
        <v>0.1</v>
      </c>
      <c r="AR108" s="502" t="str">
        <f t="shared" si="35"/>
        <v/>
      </c>
      <c r="AS108" s="502"/>
      <c r="AT108" s="502"/>
      <c r="AU108" s="502"/>
      <c r="AV108" s="502"/>
      <c r="AW108" s="501"/>
      <c r="AX108" s="502"/>
      <c r="AY108" s="501"/>
      <c r="AZ108" s="501"/>
      <c r="BC108" s="510" t="str">
        <f t="shared" si="21"/>
        <v xml:space="preserve"> </v>
      </c>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row>
    <row r="109" spans="2:83" ht="42.75" customHeight="1" x14ac:dyDescent="0.25">
      <c r="B109" s="636"/>
      <c r="C109" s="388">
        <f t="shared" si="33"/>
        <v>76</v>
      </c>
      <c r="D109" s="382" t="s">
        <v>411</v>
      </c>
      <c r="E109" s="642"/>
      <c r="F109" s="642"/>
      <c r="G109" s="642"/>
      <c r="H109" s="642"/>
      <c r="I109" s="642"/>
      <c r="J109" s="642"/>
      <c r="K109" s="642"/>
      <c r="L109" s="642"/>
      <c r="M109" s="642"/>
      <c r="N109" s="642"/>
      <c r="O109" s="642"/>
      <c r="P109" s="642"/>
      <c r="Q109" s="642"/>
      <c r="R109" s="642"/>
      <c r="S109" s="642"/>
      <c r="T109" s="642"/>
      <c r="U109" s="1"/>
      <c r="V109" s="375" t="s">
        <v>102</v>
      </c>
      <c r="W109" s="370" t="s">
        <v>348</v>
      </c>
      <c r="X109" s="1" t="str">
        <f t="shared" si="28"/>
        <v xml:space="preserve"> </v>
      </c>
      <c r="Y109" s="1"/>
      <c r="Z109" s="389" t="str">
        <f t="shared" si="29"/>
        <v/>
      </c>
      <c r="AA109" s="274" t="str">
        <f>IF(Exigences!Y109=Présentation!$L$20,'Plan d''actions'!E100,IF(Exigences!Y109=Présentation!$L$21,'Plan d''actions'!E100,"Pas de plan d'actions à suggérer!"))</f>
        <v>Pas de plan d'actions à suggérer!</v>
      </c>
      <c r="AB109" s="277"/>
      <c r="AC109" s="277"/>
      <c r="AD109" s="277"/>
      <c r="AE109" s="404"/>
      <c r="AF109" s="401"/>
      <c r="AG109" s="401"/>
      <c r="AH109" s="3" t="s">
        <v>61</v>
      </c>
      <c r="AJ109" s="42"/>
      <c r="AL109" s="507">
        <f t="shared" si="30"/>
        <v>76</v>
      </c>
      <c r="AM109" s="504">
        <f t="shared" si="31"/>
        <v>0</v>
      </c>
      <c r="AN109" s="504" t="str">
        <f>IFERROR((VLOOKUP($Y109,Présentation!$L$20:$M$24,2,FALSE)),"")</f>
        <v/>
      </c>
      <c r="AO109" s="502" t="str">
        <f>IFERROR(CHOOSE($AN109,"",Présentation!$D$20,Présentation!$D$21,Présentation!$D$22,Présentation!$D$23,Présentation!$D$24),"")</f>
        <v/>
      </c>
      <c r="AP109" s="516">
        <f t="shared" si="34"/>
        <v>0</v>
      </c>
      <c r="AQ109" s="512">
        <f t="shared" si="32"/>
        <v>0.1</v>
      </c>
      <c r="AR109" s="502" t="str">
        <f t="shared" si="35"/>
        <v/>
      </c>
      <c r="AS109" s="502"/>
      <c r="AT109" s="502"/>
      <c r="AU109" s="502"/>
      <c r="AV109" s="502"/>
      <c r="AW109" s="501"/>
      <c r="AX109" s="502"/>
      <c r="AY109" s="501"/>
      <c r="AZ109" s="501"/>
      <c r="BC109" s="510" t="str">
        <f t="shared" ref="BC109:BC140" si="36">IF(U109="non","NA"," ")</f>
        <v xml:space="preserve"> </v>
      </c>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row>
    <row r="110" spans="2:83" ht="56.25" x14ac:dyDescent="0.25">
      <c r="B110" s="291" t="s">
        <v>258</v>
      </c>
      <c r="C110" s="388">
        <f>IF(ISERROR(C107+1),C106+1,C107+1)</f>
        <v>75</v>
      </c>
      <c r="D110" s="274" t="s">
        <v>412</v>
      </c>
      <c r="E110" s="643"/>
      <c r="F110" s="643"/>
      <c r="G110" s="643"/>
      <c r="H110" s="643"/>
      <c r="I110" s="643"/>
      <c r="J110" s="643"/>
      <c r="K110" s="643"/>
      <c r="L110" s="643"/>
      <c r="M110" s="643"/>
      <c r="N110" s="643"/>
      <c r="O110" s="643"/>
      <c r="P110" s="643"/>
      <c r="Q110" s="643"/>
      <c r="R110" s="643"/>
      <c r="S110" s="643"/>
      <c r="T110" s="643"/>
      <c r="U110" s="1"/>
      <c r="V110" s="375" t="s">
        <v>102</v>
      </c>
      <c r="W110" s="267" t="s">
        <v>349</v>
      </c>
      <c r="X110" s="1" t="str">
        <f t="shared" si="28"/>
        <v xml:space="preserve"> </v>
      </c>
      <c r="Y110" s="1"/>
      <c r="Z110" s="389" t="str">
        <f t="shared" si="29"/>
        <v/>
      </c>
      <c r="AA110" s="274" t="str">
        <f>IF(Exigences!Y110=Présentation!$L$20,'Plan d''actions'!E101,IF(Exigences!Y110=Présentation!$L$21,'Plan d''actions'!E101,"Pas de plan d'actions à suggérer!"))</f>
        <v>Pas de plan d'actions à suggérer!</v>
      </c>
      <c r="AB110" s="277"/>
      <c r="AC110" s="277"/>
      <c r="AD110" s="277"/>
      <c r="AE110" s="404"/>
      <c r="AF110" s="401"/>
      <c r="AG110" s="401"/>
      <c r="AH110" s="3" t="s">
        <v>61</v>
      </c>
      <c r="AJ110" s="42"/>
      <c r="AL110" s="507">
        <f t="shared" si="30"/>
        <v>77</v>
      </c>
      <c r="AM110" s="504">
        <f t="shared" si="31"/>
        <v>0</v>
      </c>
      <c r="AN110" s="504" t="str">
        <f>IFERROR((VLOOKUP($Y110,Présentation!$L$20:$M$24,2,FALSE)),"")</f>
        <v/>
      </c>
      <c r="AO110" s="502" t="str">
        <f>IFERROR(CHOOSE($AN110,"",Présentation!$D$20,Présentation!$D$21,Présentation!$D$22,Présentation!$D$23,Présentation!$D$24),"")</f>
        <v/>
      </c>
      <c r="AP110" s="516">
        <f t="shared" si="34"/>
        <v>0</v>
      </c>
      <c r="AQ110" s="512">
        <f t="shared" si="32"/>
        <v>0.1</v>
      </c>
      <c r="AR110" s="502" t="str">
        <f t="shared" si="35"/>
        <v/>
      </c>
      <c r="AS110" s="502"/>
      <c r="AT110" s="502"/>
      <c r="AU110" s="502"/>
      <c r="AV110" s="502"/>
      <c r="AW110" s="501"/>
      <c r="AX110" s="502"/>
      <c r="AY110" s="501"/>
      <c r="AZ110" s="501"/>
      <c r="BC110" s="510" t="str">
        <f t="shared" si="36"/>
        <v xml:space="preserve"> </v>
      </c>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row>
    <row r="111" spans="2:83" ht="30" customHeight="1" x14ac:dyDescent="0.25">
      <c r="B111" s="224"/>
      <c r="C111" s="224" t="s">
        <v>159</v>
      </c>
      <c r="D111" s="231" t="s">
        <v>162</v>
      </c>
      <c r="E111" s="641"/>
      <c r="F111" s="641"/>
      <c r="G111" s="641"/>
      <c r="H111" s="641"/>
      <c r="I111" s="641"/>
      <c r="J111" s="641"/>
      <c r="K111" s="641"/>
      <c r="L111" s="641"/>
      <c r="M111" s="641"/>
      <c r="N111" s="641"/>
      <c r="O111" s="641"/>
      <c r="P111" s="641"/>
      <c r="Q111" s="641"/>
      <c r="R111" s="641"/>
      <c r="S111" s="641"/>
      <c r="T111" s="641"/>
      <c r="U111" s="172" t="s">
        <v>261</v>
      </c>
      <c r="V111" s="172" t="s">
        <v>104</v>
      </c>
      <c r="W111" s="172" t="s">
        <v>188</v>
      </c>
      <c r="X111" s="172" t="s">
        <v>262</v>
      </c>
      <c r="Y111" s="172" t="str">
        <f>AS111</f>
        <v>Niveau non applicable</v>
      </c>
      <c r="Z111" s="172" t="str">
        <f>IF($Y111="Niveau non applicable","NA",$AR111)</f>
        <v>NA</v>
      </c>
      <c r="AA111" s="172" t="s">
        <v>296</v>
      </c>
      <c r="AB111" s="276" t="s">
        <v>638</v>
      </c>
      <c r="AC111" s="276" t="s">
        <v>605</v>
      </c>
      <c r="AD111" s="276" t="s">
        <v>279</v>
      </c>
      <c r="AE111" s="405" t="s">
        <v>280</v>
      </c>
      <c r="AF111" s="402" t="s">
        <v>281</v>
      </c>
      <c r="AG111" s="276" t="s">
        <v>527</v>
      </c>
      <c r="AH111" s="253" t="s">
        <v>101</v>
      </c>
      <c r="AJ111" s="42"/>
      <c r="AL111" s="507"/>
      <c r="AM111" s="511" t="s">
        <v>24</v>
      </c>
      <c r="AN111" s="511"/>
      <c r="AO111" s="501" t="s">
        <v>28</v>
      </c>
      <c r="AP111" s="501"/>
      <c r="AQ111" s="512">
        <f>SUM(AQ112:AQ121)</f>
        <v>0.99999999999999989</v>
      </c>
      <c r="AR111" s="502">
        <f>IFERROR(SUM(AR112:AR121),"")</f>
        <v>0</v>
      </c>
      <c r="AS111" s="505" t="str">
        <f>IFERROR(IF(AR111=Présentation!$F$24,Présentation!$H$24,IF(AR111&lt;=Présentation!$F$20,Présentation!$G$20,IF(AR111&lt;=Présentation!$F$21,Présentation!$G$21,IF(AR111&lt;=Présentation!$F$22,Présentation!$G$22,Présentation!$G$23)))),"")</f>
        <v>Niveau non applicable</v>
      </c>
      <c r="AT111" s="513">
        <f>IF(AS111="Niveau Non applicable",1,0)</f>
        <v>1</v>
      </c>
      <c r="AU111" s="502">
        <f>IF(AS111="Niveau Non applicable",0,1/COUNTIF($AT$87:$AT$140,"=0"))</f>
        <v>0</v>
      </c>
      <c r="AV111" s="502">
        <f>AU111*AR111</f>
        <v>0</v>
      </c>
      <c r="AW111" s="508"/>
      <c r="AX111" s="514"/>
      <c r="AY111" s="508"/>
      <c r="AZ111" s="508"/>
      <c r="BC111" s="510" t="str">
        <f t="shared" si="36"/>
        <v xml:space="preserve"> </v>
      </c>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row>
    <row r="112" spans="2:83" ht="78.75" customHeight="1" x14ac:dyDescent="0.25">
      <c r="B112" s="635" t="s">
        <v>258</v>
      </c>
      <c r="C112" s="388">
        <f>IF(ISERROR(C111+1),C110+1,C111+1)</f>
        <v>76</v>
      </c>
      <c r="D112" s="274" t="s">
        <v>358</v>
      </c>
      <c r="E112" s="642"/>
      <c r="F112" s="642"/>
      <c r="G112" s="642"/>
      <c r="H112" s="642"/>
      <c r="I112" s="642"/>
      <c r="J112" s="642"/>
      <c r="K112" s="642"/>
      <c r="L112" s="642"/>
      <c r="M112" s="642"/>
      <c r="N112" s="642"/>
      <c r="O112" s="642"/>
      <c r="P112" s="642"/>
      <c r="Q112" s="642"/>
      <c r="R112" s="642"/>
      <c r="S112" s="642"/>
      <c r="T112" s="642"/>
      <c r="U112" s="1"/>
      <c r="V112" s="375" t="s">
        <v>102</v>
      </c>
      <c r="W112" s="638" t="s">
        <v>353</v>
      </c>
      <c r="X112" s="1" t="str">
        <f>BC112</f>
        <v xml:space="preserve"> </v>
      </c>
      <c r="Y112" s="1"/>
      <c r="Z112" s="389" t="str">
        <f t="shared" ref="Z112:Z121" si="37">IF($U112="Non","NA",$AO112)</f>
        <v/>
      </c>
      <c r="AA112" s="274" t="str">
        <f>IF(Exigences!Y112=Présentation!$L$20,'Plan d''actions'!E103,IF(Exigences!Y112=Présentation!$L$21,'Plan d''actions'!E103,"Pas de plan d'actions à suggérer!"))</f>
        <v>Pas de plan d'actions à suggérer!</v>
      </c>
      <c r="AB112" s="277"/>
      <c r="AC112" s="277"/>
      <c r="AD112" s="277"/>
      <c r="AE112" s="404"/>
      <c r="AF112" s="401"/>
      <c r="AG112" s="401"/>
      <c r="AH112" s="3" t="s">
        <v>61</v>
      </c>
      <c r="AJ112" s="42"/>
      <c r="AL112" s="507">
        <f t="shared" ref="AL112:AL121" si="38">IF(AM112="Sous-Article","",IF(AL111="",AL110+1,AL111+1))</f>
        <v>78</v>
      </c>
      <c r="AM112" s="504">
        <f t="shared" ref="AM112:AM121" si="39">Y112</f>
        <v>0</v>
      </c>
      <c r="AN112" s="504" t="str">
        <f>IFERROR((VLOOKUP($Y112,Présentation!$L$20:$M$24,2,FALSE)),"")</f>
        <v/>
      </c>
      <c r="AO112" s="502" t="str">
        <f>IFERROR(CHOOSE($AN112,"",Présentation!$D$20,Présentation!$D$21,Présentation!$D$22,Présentation!$D$23,Présentation!$D$24),"")</f>
        <v/>
      </c>
      <c r="AP112" s="516">
        <f>IF(AM112="Non applicable",1,0)</f>
        <v>0</v>
      </c>
      <c r="AQ112" s="512">
        <f t="shared" ref="AQ112:AQ119" si="40">IF(AM112="Non applicable",0,1/COUNTIF($AP$112:$AP$121,"=0"))</f>
        <v>0.1</v>
      </c>
      <c r="AR112" s="502" t="str">
        <f>IFERROR(AO112*AQ112,"")</f>
        <v/>
      </c>
      <c r="AS112" s="502"/>
      <c r="AT112" s="502"/>
      <c r="AU112" s="502"/>
      <c r="AV112" s="502"/>
      <c r="AW112" s="501"/>
      <c r="AX112" s="502"/>
      <c r="AY112" s="501"/>
      <c r="AZ112" s="501"/>
      <c r="BC112" s="510" t="str">
        <f t="shared" si="36"/>
        <v xml:space="preserve"> </v>
      </c>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row>
    <row r="113" spans="2:83" ht="29.25" customHeight="1" x14ac:dyDescent="0.25">
      <c r="B113" s="637"/>
      <c r="C113" s="388">
        <f>IF(ISERROR(C112+1),C111+1,C112+1)</f>
        <v>77</v>
      </c>
      <c r="D113" s="274" t="s">
        <v>350</v>
      </c>
      <c r="E113" s="642"/>
      <c r="F113" s="642"/>
      <c r="G113" s="642"/>
      <c r="H113" s="642"/>
      <c r="I113" s="642"/>
      <c r="J113" s="642"/>
      <c r="K113" s="642"/>
      <c r="L113" s="642"/>
      <c r="M113" s="642"/>
      <c r="N113" s="642"/>
      <c r="O113" s="642"/>
      <c r="P113" s="642"/>
      <c r="Q113" s="642"/>
      <c r="R113" s="642"/>
      <c r="S113" s="642"/>
      <c r="T113" s="642"/>
      <c r="U113" s="1"/>
      <c r="V113" s="375" t="s">
        <v>102</v>
      </c>
      <c r="W113" s="639"/>
      <c r="X113" s="1" t="str">
        <f>BC113</f>
        <v xml:space="preserve"> </v>
      </c>
      <c r="Y113" s="1"/>
      <c r="Z113" s="389" t="str">
        <f t="shared" si="37"/>
        <v/>
      </c>
      <c r="AA113" s="274" t="str">
        <f>IF(Exigences!Y113=Présentation!$L$20,'Plan d''actions'!E104,IF(Exigences!Y113=Présentation!$L$21,'Plan d''actions'!E104,"Pas de plan d'actions à suggérer!"))</f>
        <v>Pas de plan d'actions à suggérer!</v>
      </c>
      <c r="AB113" s="277"/>
      <c r="AC113" s="277"/>
      <c r="AD113" s="277"/>
      <c r="AE113" s="404"/>
      <c r="AF113" s="401"/>
      <c r="AG113" s="401"/>
      <c r="AH113" s="3" t="s">
        <v>61</v>
      </c>
      <c r="AJ113" s="42"/>
      <c r="AL113" s="507">
        <f t="shared" si="38"/>
        <v>79</v>
      </c>
      <c r="AM113" s="504">
        <f t="shared" si="39"/>
        <v>0</v>
      </c>
      <c r="AN113" s="504" t="str">
        <f>IFERROR((VLOOKUP($Y113,Présentation!$L$20:$M$24,2,FALSE)),"")</f>
        <v/>
      </c>
      <c r="AO113" s="502" t="str">
        <f>IFERROR(CHOOSE($AN113,"",Présentation!$D$20,Présentation!$D$21,Présentation!$D$22,Présentation!$D$23,Présentation!$D$24),"")</f>
        <v/>
      </c>
      <c r="AP113" s="516">
        <f>IF(AM113="Non applicable",1,0)</f>
        <v>0</v>
      </c>
      <c r="AQ113" s="512">
        <f t="shared" si="40"/>
        <v>0.1</v>
      </c>
      <c r="AR113" s="502" t="str">
        <f>IFERROR(AO113*AQ113,"")</f>
        <v/>
      </c>
      <c r="AS113" s="502"/>
      <c r="AT113" s="502"/>
      <c r="AU113" s="502"/>
      <c r="AV113" s="502"/>
      <c r="AW113" s="501"/>
      <c r="AX113" s="502"/>
      <c r="AY113" s="501"/>
      <c r="AZ113" s="501"/>
      <c r="BC113" s="510" t="str">
        <f t="shared" si="36"/>
        <v xml:space="preserve"> </v>
      </c>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row>
    <row r="114" spans="2:83" ht="30" customHeight="1" x14ac:dyDescent="0.25">
      <c r="B114" s="637"/>
      <c r="C114" s="388">
        <f>IF(ISERROR(C113+1),C112+1,C113+1)</f>
        <v>78</v>
      </c>
      <c r="D114" s="274" t="s">
        <v>351</v>
      </c>
      <c r="E114" s="642"/>
      <c r="F114" s="642"/>
      <c r="G114" s="642"/>
      <c r="H114" s="642"/>
      <c r="I114" s="642"/>
      <c r="J114" s="642"/>
      <c r="K114" s="642"/>
      <c r="L114" s="642"/>
      <c r="M114" s="642"/>
      <c r="N114" s="642"/>
      <c r="O114" s="642"/>
      <c r="P114" s="642"/>
      <c r="Q114" s="642"/>
      <c r="R114" s="642"/>
      <c r="S114" s="642"/>
      <c r="T114" s="642"/>
      <c r="U114" s="1"/>
      <c r="V114" s="375" t="s">
        <v>102</v>
      </c>
      <c r="W114" s="639"/>
      <c r="X114" s="1" t="str">
        <f>BC114</f>
        <v xml:space="preserve"> </v>
      </c>
      <c r="Y114" s="1"/>
      <c r="Z114" s="389" t="str">
        <f t="shared" si="37"/>
        <v/>
      </c>
      <c r="AA114" s="274" t="str">
        <f>IF(Exigences!Y114=Présentation!$L$20,'Plan d''actions'!E105,IF(Exigences!Y114=Présentation!$L$21,'Plan d''actions'!E105,"Pas de plan d'actions à suggérer!"))</f>
        <v>Pas de plan d'actions à suggérer!</v>
      </c>
      <c r="AB114" s="277"/>
      <c r="AC114" s="277"/>
      <c r="AD114" s="277"/>
      <c r="AE114" s="404"/>
      <c r="AF114" s="401"/>
      <c r="AG114" s="401"/>
      <c r="AH114" s="3" t="s">
        <v>61</v>
      </c>
      <c r="AJ114" s="42"/>
      <c r="AL114" s="507">
        <f t="shared" si="38"/>
        <v>80</v>
      </c>
      <c r="AM114" s="504">
        <f t="shared" si="39"/>
        <v>0</v>
      </c>
      <c r="AN114" s="504" t="str">
        <f>IFERROR((VLOOKUP($Y114,Présentation!$L$20:$M$24,2,FALSE)),"")</f>
        <v/>
      </c>
      <c r="AO114" s="502" t="str">
        <f>IFERROR(CHOOSE($AN114,"",Présentation!$D$20,Présentation!$D$21,Présentation!$D$22,Présentation!$D$23,Présentation!$D$24),"")</f>
        <v/>
      </c>
      <c r="AP114" s="516">
        <f>IF(AM114="Non applicable",1,0)</f>
        <v>0</v>
      </c>
      <c r="AQ114" s="512">
        <f t="shared" si="40"/>
        <v>0.1</v>
      </c>
      <c r="AR114" s="502" t="str">
        <f>IFERROR(AO114*AQ114,"")</f>
        <v/>
      </c>
      <c r="AS114" s="502"/>
      <c r="AT114" s="502"/>
      <c r="AU114" s="502"/>
      <c r="AV114" s="502"/>
      <c r="AW114" s="501"/>
      <c r="AX114" s="502"/>
      <c r="AY114" s="501"/>
      <c r="AZ114" s="501"/>
      <c r="BC114" s="510" t="str">
        <f t="shared" si="36"/>
        <v xml:space="preserve"> </v>
      </c>
    </row>
    <row r="115" spans="2:83" ht="42.75" customHeight="1" x14ac:dyDescent="0.25">
      <c r="B115" s="637"/>
      <c r="C115" s="388">
        <f t="shared" ref="C115:C121" si="41">IF(ISERROR(C114+1),C113+1,C114+1)</f>
        <v>79</v>
      </c>
      <c r="D115" s="274" t="s">
        <v>482</v>
      </c>
      <c r="E115" s="642"/>
      <c r="F115" s="642"/>
      <c r="G115" s="642"/>
      <c r="H115" s="642"/>
      <c r="I115" s="642"/>
      <c r="J115" s="642"/>
      <c r="K115" s="642"/>
      <c r="L115" s="642"/>
      <c r="M115" s="642"/>
      <c r="N115" s="642"/>
      <c r="O115" s="642"/>
      <c r="P115" s="642"/>
      <c r="Q115" s="642"/>
      <c r="R115" s="642"/>
      <c r="S115" s="642"/>
      <c r="T115" s="642"/>
      <c r="U115" s="1"/>
      <c r="V115" s="375" t="s">
        <v>102</v>
      </c>
      <c r="W115" s="639"/>
      <c r="X115" s="1" t="str">
        <f t="shared" ref="X115:X121" si="42">BC115</f>
        <v xml:space="preserve"> </v>
      </c>
      <c r="Y115" s="1"/>
      <c r="Z115" s="389" t="str">
        <f t="shared" si="37"/>
        <v/>
      </c>
      <c r="AA115" s="274" t="str">
        <f>IF(Exigences!Y115=Présentation!$L$20,'Plan d''actions'!E106,IF(Exigences!Y115=Présentation!$L$21,'Plan d''actions'!E106,"Pas de plan d'actions à suggérer!"))</f>
        <v>Pas de plan d'actions à suggérer!</v>
      </c>
      <c r="AB115" s="277"/>
      <c r="AC115" s="277"/>
      <c r="AD115" s="277"/>
      <c r="AE115" s="404"/>
      <c r="AF115" s="401"/>
      <c r="AG115" s="401"/>
      <c r="AH115" s="3" t="s">
        <v>61</v>
      </c>
      <c r="AJ115" s="42"/>
      <c r="AL115" s="507">
        <f t="shared" si="38"/>
        <v>81</v>
      </c>
      <c r="AM115" s="504">
        <f t="shared" si="39"/>
        <v>0</v>
      </c>
      <c r="AN115" s="504" t="str">
        <f>IFERROR((VLOOKUP($Y115,Présentation!$L$20:$M$24,2,FALSE)),"")</f>
        <v/>
      </c>
      <c r="AO115" s="502" t="str">
        <f>IFERROR(CHOOSE($AN115,"",Présentation!$D$20,Présentation!$D$21,Présentation!$D$22,Présentation!$D$23,Présentation!$D$24),"")</f>
        <v/>
      </c>
      <c r="AP115" s="516">
        <f t="shared" ref="AP115:AP121" si="43">IF(AM115="Non applicable",1,0)</f>
        <v>0</v>
      </c>
      <c r="AQ115" s="512">
        <f t="shared" si="40"/>
        <v>0.1</v>
      </c>
      <c r="AR115" s="502" t="str">
        <f t="shared" ref="AR115:AR121" si="44">IFERROR(AO115*AQ115,"")</f>
        <v/>
      </c>
      <c r="AS115" s="502"/>
      <c r="AT115" s="502"/>
      <c r="AU115" s="502"/>
      <c r="AV115" s="502"/>
      <c r="AW115" s="501"/>
      <c r="AX115" s="502"/>
      <c r="AY115" s="501"/>
      <c r="AZ115" s="501"/>
      <c r="BC115" s="510" t="str">
        <f t="shared" si="36"/>
        <v xml:space="preserve"> </v>
      </c>
    </row>
    <row r="116" spans="2:83" ht="30" customHeight="1" x14ac:dyDescent="0.25">
      <c r="B116" s="637"/>
      <c r="C116" s="388">
        <f t="shared" si="41"/>
        <v>80</v>
      </c>
      <c r="D116" s="274" t="s">
        <v>352</v>
      </c>
      <c r="E116" s="642"/>
      <c r="F116" s="642"/>
      <c r="G116" s="642"/>
      <c r="H116" s="642"/>
      <c r="I116" s="642"/>
      <c r="J116" s="642"/>
      <c r="K116" s="642"/>
      <c r="L116" s="642"/>
      <c r="M116" s="642"/>
      <c r="N116" s="642"/>
      <c r="O116" s="642"/>
      <c r="P116" s="642"/>
      <c r="Q116" s="642"/>
      <c r="R116" s="642"/>
      <c r="S116" s="642"/>
      <c r="T116" s="642"/>
      <c r="U116" s="1"/>
      <c r="V116" s="375" t="s">
        <v>102</v>
      </c>
      <c r="W116" s="639"/>
      <c r="X116" s="1" t="str">
        <f t="shared" si="42"/>
        <v xml:space="preserve"> </v>
      </c>
      <c r="Y116" s="1"/>
      <c r="Z116" s="389" t="str">
        <f t="shared" si="37"/>
        <v/>
      </c>
      <c r="AA116" s="274" t="str">
        <f>IF(Exigences!Y116=Présentation!$L$20,'Plan d''actions'!E107,IF(Exigences!Y116=Présentation!$L$21,'Plan d''actions'!E107,"Pas de plan d'actions à suggérer!"))</f>
        <v>Pas de plan d'actions à suggérer!</v>
      </c>
      <c r="AB116" s="277"/>
      <c r="AC116" s="277"/>
      <c r="AD116" s="277"/>
      <c r="AE116" s="404"/>
      <c r="AF116" s="401"/>
      <c r="AG116" s="401"/>
      <c r="AH116" s="3" t="s">
        <v>61</v>
      </c>
      <c r="AJ116" s="42"/>
      <c r="AL116" s="507">
        <f t="shared" si="38"/>
        <v>82</v>
      </c>
      <c r="AM116" s="504">
        <f t="shared" si="39"/>
        <v>0</v>
      </c>
      <c r="AN116" s="504" t="str">
        <f>IFERROR((VLOOKUP($Y116,Présentation!$L$20:$M$24,2,FALSE)),"")</f>
        <v/>
      </c>
      <c r="AO116" s="502" t="str">
        <f>IFERROR(CHOOSE($AN116,"",Présentation!$D$20,Présentation!$D$21,Présentation!$D$22,Présentation!$D$23,Présentation!$D$24),"")</f>
        <v/>
      </c>
      <c r="AP116" s="516">
        <f t="shared" si="43"/>
        <v>0</v>
      </c>
      <c r="AQ116" s="512">
        <f t="shared" si="40"/>
        <v>0.1</v>
      </c>
      <c r="AR116" s="502" t="str">
        <f t="shared" si="44"/>
        <v/>
      </c>
      <c r="AS116" s="502"/>
      <c r="AT116" s="502"/>
      <c r="AU116" s="502"/>
      <c r="AV116" s="502"/>
      <c r="AW116" s="501"/>
      <c r="AX116" s="502"/>
      <c r="AY116" s="501"/>
      <c r="AZ116" s="501"/>
      <c r="BC116" s="510" t="str">
        <f t="shared" si="36"/>
        <v xml:space="preserve"> </v>
      </c>
    </row>
    <row r="117" spans="2:83" ht="30" customHeight="1" x14ac:dyDescent="0.25">
      <c r="B117" s="637"/>
      <c r="C117" s="388">
        <f t="shared" si="41"/>
        <v>81</v>
      </c>
      <c r="D117" s="274" t="s">
        <v>359</v>
      </c>
      <c r="E117" s="642"/>
      <c r="F117" s="642"/>
      <c r="G117" s="642"/>
      <c r="H117" s="642"/>
      <c r="I117" s="642"/>
      <c r="J117" s="642"/>
      <c r="K117" s="642"/>
      <c r="L117" s="642"/>
      <c r="M117" s="642"/>
      <c r="N117" s="642"/>
      <c r="O117" s="642"/>
      <c r="P117" s="642"/>
      <c r="Q117" s="642"/>
      <c r="R117" s="642"/>
      <c r="S117" s="642"/>
      <c r="T117" s="642"/>
      <c r="U117" s="1"/>
      <c r="V117" s="375" t="s">
        <v>102</v>
      </c>
      <c r="W117" s="649"/>
      <c r="X117" s="1" t="str">
        <f t="shared" si="42"/>
        <v xml:space="preserve"> </v>
      </c>
      <c r="Y117" s="1"/>
      <c r="Z117" s="389" t="str">
        <f t="shared" si="37"/>
        <v/>
      </c>
      <c r="AA117" s="274" t="str">
        <f>IF(Exigences!Y117=Présentation!$L$20,'Plan d''actions'!E108,IF(Exigences!Y117=Présentation!$L$21,'Plan d''actions'!E108,"Pas de plan d'actions à suggérer!"))</f>
        <v>Pas de plan d'actions à suggérer!</v>
      </c>
      <c r="AB117" s="277"/>
      <c r="AC117" s="277"/>
      <c r="AD117" s="277"/>
      <c r="AE117" s="404"/>
      <c r="AF117" s="401"/>
      <c r="AG117" s="401"/>
      <c r="AH117" s="3" t="s">
        <v>61</v>
      </c>
      <c r="AJ117" s="42"/>
      <c r="AL117" s="507">
        <f t="shared" si="38"/>
        <v>83</v>
      </c>
      <c r="AM117" s="504">
        <f t="shared" si="39"/>
        <v>0</v>
      </c>
      <c r="AN117" s="504" t="str">
        <f>IFERROR((VLOOKUP($Y117,Présentation!$L$20:$M$24,2,FALSE)),"")</f>
        <v/>
      </c>
      <c r="AO117" s="502" t="str">
        <f>IFERROR(CHOOSE($AN117,"",Présentation!$D$20,Présentation!$D$21,Présentation!$D$22,Présentation!$D$23,Présentation!$D$24),"")</f>
        <v/>
      </c>
      <c r="AP117" s="516">
        <f t="shared" si="43"/>
        <v>0</v>
      </c>
      <c r="AQ117" s="512">
        <f t="shared" si="40"/>
        <v>0.1</v>
      </c>
      <c r="AR117" s="502" t="str">
        <f t="shared" si="44"/>
        <v/>
      </c>
      <c r="AS117" s="502"/>
      <c r="AT117" s="502"/>
      <c r="AU117" s="502"/>
      <c r="AV117" s="502"/>
      <c r="AW117" s="501"/>
      <c r="AX117" s="502"/>
      <c r="AY117" s="501"/>
      <c r="AZ117" s="501"/>
      <c r="BC117" s="510" t="str">
        <f t="shared" si="36"/>
        <v xml:space="preserve"> </v>
      </c>
    </row>
    <row r="118" spans="2:83" ht="72" customHeight="1" x14ac:dyDescent="0.25">
      <c r="B118" s="644"/>
      <c r="C118" s="388">
        <f t="shared" si="41"/>
        <v>82</v>
      </c>
      <c r="D118" s="274" t="s">
        <v>360</v>
      </c>
      <c r="E118" s="642"/>
      <c r="F118" s="642"/>
      <c r="G118" s="642"/>
      <c r="H118" s="642"/>
      <c r="I118" s="642"/>
      <c r="J118" s="642"/>
      <c r="K118" s="642"/>
      <c r="L118" s="642"/>
      <c r="M118" s="642"/>
      <c r="N118" s="642"/>
      <c r="O118" s="642"/>
      <c r="P118" s="642"/>
      <c r="Q118" s="642"/>
      <c r="R118" s="642"/>
      <c r="S118" s="642"/>
      <c r="T118" s="642"/>
      <c r="U118" s="1"/>
      <c r="V118" s="375" t="s">
        <v>103</v>
      </c>
      <c r="W118" s="638" t="s">
        <v>363</v>
      </c>
      <c r="X118" s="1" t="str">
        <f t="shared" si="42"/>
        <v xml:space="preserve"> </v>
      </c>
      <c r="Y118" s="1"/>
      <c r="Z118" s="389" t="str">
        <f t="shared" si="37"/>
        <v/>
      </c>
      <c r="AA118" s="274" t="str">
        <f>IF(Exigences!Y118=Présentation!$L$20,'Plan d''actions'!E109,IF(Exigences!Y118=Présentation!$L$21,'Plan d''actions'!E109,"Pas de plan d'actions à suggérer!"))</f>
        <v>Pas de plan d'actions à suggérer!</v>
      </c>
      <c r="AB118" s="277"/>
      <c r="AC118" s="277"/>
      <c r="AD118" s="277"/>
      <c r="AE118" s="404"/>
      <c r="AF118" s="401"/>
      <c r="AG118" s="401"/>
      <c r="AH118" s="3" t="s">
        <v>61</v>
      </c>
      <c r="AJ118" s="42"/>
      <c r="AL118" s="507">
        <f t="shared" si="38"/>
        <v>84</v>
      </c>
      <c r="AM118" s="504">
        <f t="shared" si="39"/>
        <v>0</v>
      </c>
      <c r="AN118" s="504" t="str">
        <f>IFERROR((VLOOKUP($Y118,Présentation!$L$20:$M$24,2,FALSE)),"")</f>
        <v/>
      </c>
      <c r="AO118" s="502" t="str">
        <f>IFERROR(CHOOSE($AN118,"",Présentation!$D$20,Présentation!$D$21,Présentation!$D$22,Présentation!$D$23,Présentation!$D$24),"")</f>
        <v/>
      </c>
      <c r="AP118" s="516">
        <f t="shared" si="43"/>
        <v>0</v>
      </c>
      <c r="AQ118" s="512">
        <f t="shared" si="40"/>
        <v>0.1</v>
      </c>
      <c r="AR118" s="502" t="str">
        <f t="shared" si="44"/>
        <v/>
      </c>
      <c r="AS118" s="502"/>
      <c r="AT118" s="502"/>
      <c r="AU118" s="502"/>
      <c r="AV118" s="502"/>
      <c r="AW118" s="501"/>
      <c r="AX118" s="502"/>
      <c r="AY118" s="501"/>
      <c r="AZ118" s="501"/>
      <c r="BC118" s="510" t="str">
        <f t="shared" si="36"/>
        <v xml:space="preserve"> </v>
      </c>
    </row>
    <row r="119" spans="2:83" ht="37.5" customHeight="1" x14ac:dyDescent="0.25">
      <c r="B119" s="291" t="s">
        <v>257</v>
      </c>
      <c r="C119" s="388">
        <f t="shared" si="41"/>
        <v>83</v>
      </c>
      <c r="D119" s="382" t="s">
        <v>354</v>
      </c>
      <c r="E119" s="642"/>
      <c r="F119" s="642"/>
      <c r="G119" s="642"/>
      <c r="H119" s="642"/>
      <c r="I119" s="642"/>
      <c r="J119" s="642"/>
      <c r="K119" s="642"/>
      <c r="L119" s="642"/>
      <c r="M119" s="642"/>
      <c r="N119" s="642"/>
      <c r="O119" s="642"/>
      <c r="P119" s="642"/>
      <c r="Q119" s="642"/>
      <c r="R119" s="642"/>
      <c r="S119" s="642"/>
      <c r="T119" s="642"/>
      <c r="U119" s="1"/>
      <c r="V119" s="375" t="s">
        <v>103</v>
      </c>
      <c r="W119" s="649"/>
      <c r="X119" s="1" t="str">
        <f t="shared" si="42"/>
        <v xml:space="preserve"> </v>
      </c>
      <c r="Y119" s="1"/>
      <c r="Z119" s="389" t="str">
        <f t="shared" si="37"/>
        <v/>
      </c>
      <c r="AA119" s="274" t="str">
        <f>IF(Exigences!Y119=Présentation!$L$20,'Plan d''actions'!E110,IF(Exigences!Y119=Présentation!$L$21,'Plan d''actions'!E110,"Pas de plan d'actions à suggérer!"))</f>
        <v>Pas de plan d'actions à suggérer!</v>
      </c>
      <c r="AB119" s="277"/>
      <c r="AC119" s="277"/>
      <c r="AD119" s="277"/>
      <c r="AE119" s="404"/>
      <c r="AF119" s="401"/>
      <c r="AG119" s="401"/>
      <c r="AH119" s="3" t="s">
        <v>61</v>
      </c>
      <c r="AJ119" s="42"/>
      <c r="AL119" s="507">
        <f t="shared" si="38"/>
        <v>85</v>
      </c>
      <c r="AM119" s="504">
        <f t="shared" si="39"/>
        <v>0</v>
      </c>
      <c r="AN119" s="504" t="str">
        <f>IFERROR((VLOOKUP($Y119,Présentation!$L$20:$M$24,2,FALSE)),"")</f>
        <v/>
      </c>
      <c r="AO119" s="502" t="str">
        <f>IFERROR(CHOOSE($AN119,"",Présentation!$D$20,Présentation!$D$21,Présentation!$D$22,Présentation!$D$23,Présentation!$D$24),"")</f>
        <v/>
      </c>
      <c r="AP119" s="516">
        <f t="shared" si="43"/>
        <v>0</v>
      </c>
      <c r="AQ119" s="512">
        <f t="shared" si="40"/>
        <v>0.1</v>
      </c>
      <c r="AR119" s="502" t="str">
        <f t="shared" si="44"/>
        <v/>
      </c>
      <c r="AS119" s="502"/>
      <c r="AT119" s="502"/>
      <c r="AU119" s="502"/>
      <c r="AV119" s="502"/>
      <c r="AW119" s="501"/>
      <c r="AX119" s="502"/>
      <c r="AY119" s="501"/>
      <c r="AZ119" s="501"/>
      <c r="BC119" s="510" t="str">
        <f t="shared" si="36"/>
        <v xml:space="preserve"> </v>
      </c>
    </row>
    <row r="120" spans="2:83" ht="37.5" customHeight="1" x14ac:dyDescent="0.25">
      <c r="B120" s="650" t="s">
        <v>258</v>
      </c>
      <c r="C120" s="388">
        <f t="shared" si="41"/>
        <v>84</v>
      </c>
      <c r="D120" s="274" t="s">
        <v>365</v>
      </c>
      <c r="E120" s="642"/>
      <c r="F120" s="642"/>
      <c r="G120" s="642"/>
      <c r="H120" s="642"/>
      <c r="I120" s="642"/>
      <c r="J120" s="642"/>
      <c r="K120" s="642"/>
      <c r="L120" s="642"/>
      <c r="M120" s="642"/>
      <c r="N120" s="642"/>
      <c r="O120" s="642"/>
      <c r="P120" s="642"/>
      <c r="Q120" s="642"/>
      <c r="R120" s="642"/>
      <c r="S120" s="642"/>
      <c r="T120" s="642"/>
      <c r="U120" s="1"/>
      <c r="V120" s="375" t="s">
        <v>103</v>
      </c>
      <c r="W120" s="638" t="s">
        <v>362</v>
      </c>
      <c r="X120" s="1" t="str">
        <f t="shared" si="42"/>
        <v xml:space="preserve"> </v>
      </c>
      <c r="Y120" s="1"/>
      <c r="Z120" s="389" t="str">
        <f t="shared" si="37"/>
        <v/>
      </c>
      <c r="AA120" s="274" t="str">
        <f>IF(Exigences!Y120=Présentation!$L$20,'Plan d''actions'!E111,IF(Exigences!Y120=Présentation!$L$21,'Plan d''actions'!E111,"Pas de plan d'actions à suggérer!"))</f>
        <v>Pas de plan d'actions à suggérer!</v>
      </c>
      <c r="AB120" s="277"/>
      <c r="AC120" s="277"/>
      <c r="AD120" s="277"/>
      <c r="AE120" s="404"/>
      <c r="AF120" s="401"/>
      <c r="AG120" s="401"/>
      <c r="AH120" s="3" t="s">
        <v>61</v>
      </c>
      <c r="AJ120" s="42"/>
      <c r="AL120" s="507">
        <f t="shared" si="38"/>
        <v>86</v>
      </c>
      <c r="AM120" s="504">
        <f t="shared" si="39"/>
        <v>0</v>
      </c>
      <c r="AN120" s="504" t="str">
        <f>IFERROR((VLOOKUP($Y120,Présentation!$L$20:$M$24,2,FALSE)),"")</f>
        <v/>
      </c>
      <c r="AO120" s="502" t="str">
        <f>IFERROR(CHOOSE($AN120,"",Présentation!$D$20,Présentation!$D$21,Présentation!$D$22,Présentation!$D$23,Présentation!$D$24),"")</f>
        <v/>
      </c>
      <c r="AP120" s="516">
        <f t="shared" si="43"/>
        <v>0</v>
      </c>
      <c r="AQ120" s="512">
        <f>IF(AM120="Non applicable",0,1/COUNTIF($AP$112:$AP$121,"=0"))</f>
        <v>0.1</v>
      </c>
      <c r="AR120" s="502" t="str">
        <f t="shared" si="44"/>
        <v/>
      </c>
      <c r="AS120" s="502"/>
      <c r="AT120" s="502"/>
      <c r="AU120" s="502"/>
      <c r="AV120" s="502"/>
      <c r="AW120" s="501"/>
      <c r="AX120" s="502"/>
      <c r="AY120" s="501"/>
      <c r="AZ120" s="501"/>
      <c r="BC120" s="510" t="str">
        <f t="shared" si="36"/>
        <v xml:space="preserve"> </v>
      </c>
    </row>
    <row r="121" spans="2:83" ht="80.25" customHeight="1" x14ac:dyDescent="0.25">
      <c r="B121" s="644"/>
      <c r="C121" s="388">
        <f t="shared" si="41"/>
        <v>85</v>
      </c>
      <c r="D121" s="274" t="s">
        <v>361</v>
      </c>
      <c r="E121" s="643"/>
      <c r="F121" s="643"/>
      <c r="G121" s="643"/>
      <c r="H121" s="643"/>
      <c r="I121" s="643"/>
      <c r="J121" s="643"/>
      <c r="K121" s="643"/>
      <c r="L121" s="643"/>
      <c r="M121" s="643"/>
      <c r="N121" s="643"/>
      <c r="O121" s="643"/>
      <c r="P121" s="643"/>
      <c r="Q121" s="643"/>
      <c r="R121" s="643"/>
      <c r="S121" s="643"/>
      <c r="T121" s="643"/>
      <c r="U121" s="1"/>
      <c r="V121" s="375" t="s">
        <v>102</v>
      </c>
      <c r="W121" s="649"/>
      <c r="X121" s="1" t="str">
        <f t="shared" si="42"/>
        <v xml:space="preserve"> </v>
      </c>
      <c r="Y121" s="1"/>
      <c r="Z121" s="389" t="str">
        <f t="shared" si="37"/>
        <v/>
      </c>
      <c r="AA121" s="274" t="str">
        <f>IF(Exigences!Y121=Présentation!$L$20,'Plan d''actions'!E112,IF(Exigences!Y121=Présentation!$L$21,'Plan d''actions'!E112,"Pas de plan d'actions à suggérer!"))</f>
        <v>Pas de plan d'actions à suggérer!</v>
      </c>
      <c r="AB121" s="277"/>
      <c r="AC121" s="277"/>
      <c r="AD121" s="277"/>
      <c r="AE121" s="404"/>
      <c r="AF121" s="401"/>
      <c r="AG121" s="401"/>
      <c r="AH121" s="3" t="s">
        <v>61</v>
      </c>
      <c r="AJ121" s="42"/>
      <c r="AL121" s="507">
        <f t="shared" si="38"/>
        <v>87</v>
      </c>
      <c r="AM121" s="504">
        <f t="shared" si="39"/>
        <v>0</v>
      </c>
      <c r="AN121" s="504" t="str">
        <f>IFERROR((VLOOKUP($Y121,Présentation!$L$20:$M$24,2,FALSE)),"")</f>
        <v/>
      </c>
      <c r="AO121" s="502" t="str">
        <f>IFERROR(CHOOSE($AN121,"",Présentation!$D$20,Présentation!$D$21,Présentation!$D$22,Présentation!$D$23,Présentation!$D$24),"")</f>
        <v/>
      </c>
      <c r="AP121" s="516">
        <f t="shared" si="43"/>
        <v>0</v>
      </c>
      <c r="AQ121" s="512">
        <f>IF(AM121="Non applicable",0,1/COUNTIF($AP$112:$AP$121,"=0"))</f>
        <v>0.1</v>
      </c>
      <c r="AR121" s="502" t="str">
        <f t="shared" si="44"/>
        <v/>
      </c>
      <c r="AS121" s="502"/>
      <c r="AT121" s="502"/>
      <c r="AU121" s="502"/>
      <c r="AV121" s="502"/>
      <c r="AW121" s="501"/>
      <c r="AX121" s="502"/>
      <c r="AY121" s="501"/>
      <c r="AZ121" s="501"/>
      <c r="BC121" s="510" t="str">
        <f t="shared" si="36"/>
        <v xml:space="preserve"> </v>
      </c>
    </row>
    <row r="122" spans="2:83" ht="30" customHeight="1" x14ac:dyDescent="0.25">
      <c r="B122" s="224"/>
      <c r="C122" s="224" t="s">
        <v>160</v>
      </c>
      <c r="D122" s="231" t="s">
        <v>163</v>
      </c>
      <c r="E122" s="641"/>
      <c r="F122" s="641"/>
      <c r="G122" s="641"/>
      <c r="H122" s="641"/>
      <c r="I122" s="641"/>
      <c r="J122" s="641"/>
      <c r="K122" s="641"/>
      <c r="L122" s="641"/>
      <c r="M122" s="641"/>
      <c r="N122" s="641"/>
      <c r="O122" s="641"/>
      <c r="P122" s="641"/>
      <c r="Q122" s="641"/>
      <c r="R122" s="641"/>
      <c r="S122" s="641"/>
      <c r="T122" s="641"/>
      <c r="U122" s="172" t="s">
        <v>261</v>
      </c>
      <c r="V122" s="172" t="s">
        <v>104</v>
      </c>
      <c r="W122" s="172" t="s">
        <v>188</v>
      </c>
      <c r="X122" s="172" t="s">
        <v>262</v>
      </c>
      <c r="Y122" s="172" t="str">
        <f>AS122</f>
        <v>Niveau non applicable</v>
      </c>
      <c r="Z122" s="172" t="str">
        <f>IF($Y122="Niveau non applicable","NA",$AR122)</f>
        <v>NA</v>
      </c>
      <c r="AA122" s="172" t="s">
        <v>296</v>
      </c>
      <c r="AB122" s="276" t="s">
        <v>638</v>
      </c>
      <c r="AC122" s="276" t="s">
        <v>605</v>
      </c>
      <c r="AD122" s="276" t="s">
        <v>279</v>
      </c>
      <c r="AE122" s="405" t="s">
        <v>280</v>
      </c>
      <c r="AF122" s="402" t="s">
        <v>281</v>
      </c>
      <c r="AG122" s="276" t="s">
        <v>527</v>
      </c>
      <c r="AH122" s="253" t="s">
        <v>101</v>
      </c>
      <c r="AJ122" s="42"/>
      <c r="AL122" s="507"/>
      <c r="AM122" s="511" t="s">
        <v>24</v>
      </c>
      <c r="AN122" s="511"/>
      <c r="AO122" s="501" t="s">
        <v>28</v>
      </c>
      <c r="AP122" s="501"/>
      <c r="AQ122" s="512">
        <f>SUM(AQ123:AQ132)</f>
        <v>0.99999999999999989</v>
      </c>
      <c r="AR122" s="502">
        <f>IFERROR(SUM(AR123:AR132),"")</f>
        <v>0</v>
      </c>
      <c r="AS122" s="505" t="str">
        <f>IFERROR(IF(AR122=Présentation!$F$24,Présentation!$H$24,IF(AR122&lt;=Présentation!$F$20,Présentation!$G$20,IF(AR122&lt;=Présentation!$F$21,Présentation!$G$21,IF(AR122&lt;=Présentation!$F$22,Présentation!$G$22,Présentation!$G$23)))),"")</f>
        <v>Niveau non applicable</v>
      </c>
      <c r="AT122" s="513">
        <f>IF(AS122="Niveau Non applicable",1,0)</f>
        <v>1</v>
      </c>
      <c r="AU122" s="502">
        <f>IF(AS122="Niveau Non applicable",0,1/COUNTIF($AT$87:$AT$140,"=0"))</f>
        <v>0</v>
      </c>
      <c r="AV122" s="502">
        <f>AU122*AR122</f>
        <v>0</v>
      </c>
      <c r="AW122" s="501"/>
      <c r="AX122" s="502"/>
      <c r="AY122" s="501"/>
      <c r="AZ122" s="501"/>
      <c r="BC122" s="510" t="str">
        <f t="shared" si="36"/>
        <v xml:space="preserve"> </v>
      </c>
    </row>
    <row r="123" spans="2:83" ht="65.25" customHeight="1" x14ac:dyDescent="0.25">
      <c r="B123" s="650" t="s">
        <v>258</v>
      </c>
      <c r="C123" s="388">
        <f>IF(ISERROR(C122+1),C121+1,C122+1)</f>
        <v>86</v>
      </c>
      <c r="D123" s="274" t="s">
        <v>364</v>
      </c>
      <c r="E123" s="642"/>
      <c r="F123" s="642"/>
      <c r="G123" s="642"/>
      <c r="H123" s="642"/>
      <c r="I123" s="642"/>
      <c r="J123" s="642"/>
      <c r="K123" s="642"/>
      <c r="L123" s="642"/>
      <c r="M123" s="642"/>
      <c r="N123" s="642"/>
      <c r="O123" s="642"/>
      <c r="P123" s="642"/>
      <c r="Q123" s="642"/>
      <c r="R123" s="642"/>
      <c r="S123" s="642"/>
      <c r="T123" s="642"/>
      <c r="U123" s="1"/>
      <c r="V123" s="375" t="s">
        <v>102</v>
      </c>
      <c r="W123" s="638" t="s">
        <v>367</v>
      </c>
      <c r="X123" s="1" t="str">
        <f>BC123</f>
        <v xml:space="preserve"> </v>
      </c>
      <c r="Y123" s="1"/>
      <c r="Z123" s="389" t="str">
        <f t="shared" ref="Z123:Z132" si="45">IF($U123="Non","NA",$AO123)</f>
        <v/>
      </c>
      <c r="AA123" s="274" t="str">
        <f>IF(Exigences!Y123=Présentation!$L$20,'Plan d''actions'!E114,IF(Exigences!Y123=Présentation!$L$21,'Plan d''actions'!E114,"Pas de plan d'actions à suggérer!"))</f>
        <v>Pas de plan d'actions à suggérer!</v>
      </c>
      <c r="AB123" s="277"/>
      <c r="AC123" s="277"/>
      <c r="AD123" s="277" t="s">
        <v>270</v>
      </c>
      <c r="AE123" s="404">
        <v>43465</v>
      </c>
      <c r="AF123" s="401">
        <v>0.5</v>
      </c>
      <c r="AG123" s="401" t="s">
        <v>338</v>
      </c>
      <c r="AH123" s="3" t="s">
        <v>61</v>
      </c>
      <c r="AJ123" s="42"/>
      <c r="AL123" s="507">
        <f>IF(AM123="Sous-Article","",IF(AL122="",AL121+1,AL122+1))</f>
        <v>88</v>
      </c>
      <c r="AM123" s="504">
        <f t="shared" ref="AM123:AM132" si="46">Y123</f>
        <v>0</v>
      </c>
      <c r="AN123" s="504" t="str">
        <f>IFERROR((VLOOKUP($Y123,Présentation!$L$20:$M$24,2,FALSE)),"")</f>
        <v/>
      </c>
      <c r="AO123" s="502" t="str">
        <f>IFERROR(CHOOSE($AN123,"",Présentation!$D$20,Présentation!$D$21,Présentation!$D$22,Présentation!$D$23,Présentation!$D$24),"")</f>
        <v/>
      </c>
      <c r="AP123" s="516">
        <f>IF(AM123="Non applicable",1,0)</f>
        <v>0</v>
      </c>
      <c r="AQ123" s="512">
        <f t="shared" ref="AQ123:AQ132" si="47">IF(AM123="Non applicable",0,1/COUNTIF($AP$123:$AP$132,"=0"))</f>
        <v>0.1</v>
      </c>
      <c r="AR123" s="502" t="str">
        <f>IFERROR(AO123*AQ123,"")</f>
        <v/>
      </c>
      <c r="AS123" s="502"/>
      <c r="AT123" s="502"/>
      <c r="AU123" s="502"/>
      <c r="AV123" s="502"/>
      <c r="AW123" s="501"/>
      <c r="AX123" s="502"/>
      <c r="AY123" s="501"/>
      <c r="AZ123" s="501"/>
      <c r="BC123" s="510" t="str">
        <f t="shared" si="36"/>
        <v xml:space="preserve"> </v>
      </c>
    </row>
    <row r="124" spans="2:83" ht="48" customHeight="1" x14ac:dyDescent="0.25">
      <c r="B124" s="644"/>
      <c r="C124" s="388">
        <f t="shared" ref="C124:C132" si="48">IF(ISERROR(C123+1),C122+1,C123+1)</f>
        <v>87</v>
      </c>
      <c r="D124" s="274" t="s">
        <v>366</v>
      </c>
      <c r="E124" s="642"/>
      <c r="F124" s="642"/>
      <c r="G124" s="642"/>
      <c r="H124" s="642"/>
      <c r="I124" s="642"/>
      <c r="J124" s="642"/>
      <c r="K124" s="642"/>
      <c r="L124" s="642"/>
      <c r="M124" s="642"/>
      <c r="N124" s="642"/>
      <c r="O124" s="642"/>
      <c r="P124" s="642"/>
      <c r="Q124" s="642"/>
      <c r="R124" s="642"/>
      <c r="S124" s="642"/>
      <c r="T124" s="642"/>
      <c r="U124" s="1"/>
      <c r="V124" s="375" t="s">
        <v>102</v>
      </c>
      <c r="W124" s="649"/>
      <c r="X124" s="1" t="str">
        <f t="shared" ref="X124:X132" si="49">BC124</f>
        <v xml:space="preserve"> </v>
      </c>
      <c r="Y124" s="1"/>
      <c r="Z124" s="389" t="str">
        <f t="shared" si="45"/>
        <v/>
      </c>
      <c r="AA124" s="274" t="str">
        <f>IF(Exigences!Y124=Présentation!$L$20,'Plan d''actions'!E115,IF(Exigences!Y124=Présentation!$L$21,'Plan d''actions'!E115,"Pas de plan d'actions à suggérer!"))</f>
        <v>Pas de plan d'actions à suggérer!</v>
      </c>
      <c r="AB124" s="277"/>
      <c r="AC124" s="277"/>
      <c r="AD124" s="277"/>
      <c r="AE124" s="404"/>
      <c r="AF124" s="401"/>
      <c r="AG124" s="401"/>
      <c r="AH124" s="3" t="s">
        <v>61</v>
      </c>
      <c r="AJ124" s="42"/>
      <c r="AL124" s="507">
        <f t="shared" ref="AL124:AL131" si="50">IF(AM124="Sous-Article","",IF(AL123="",AL122+1,AL123+1))</f>
        <v>89</v>
      </c>
      <c r="AM124" s="504">
        <f t="shared" si="46"/>
        <v>0</v>
      </c>
      <c r="AN124" s="504" t="str">
        <f>IFERROR((VLOOKUP($Y124,Présentation!$L$20:$M$24,2,FALSE)),"")</f>
        <v/>
      </c>
      <c r="AO124" s="502" t="str">
        <f>IFERROR(CHOOSE($AN124,"",Présentation!$D$20,Présentation!$D$21,Présentation!$D$22,Présentation!$D$23,Présentation!$D$24),"")</f>
        <v/>
      </c>
      <c r="AP124" s="516">
        <f t="shared" ref="AP124:AP132" si="51">IF(AM124="Non applicable",1,0)</f>
        <v>0</v>
      </c>
      <c r="AQ124" s="512">
        <f t="shared" si="47"/>
        <v>0.1</v>
      </c>
      <c r="AR124" s="502" t="str">
        <f t="shared" ref="AR124:AR132" si="52">IFERROR(AO124*AQ124,"")</f>
        <v/>
      </c>
      <c r="AS124" s="502"/>
      <c r="AT124" s="502"/>
      <c r="AU124" s="502"/>
      <c r="AV124" s="502"/>
      <c r="AW124" s="501"/>
      <c r="AX124" s="502"/>
      <c r="AY124" s="501"/>
      <c r="AZ124" s="501"/>
      <c r="BC124" s="510" t="str">
        <f t="shared" si="36"/>
        <v xml:space="preserve"> </v>
      </c>
    </row>
    <row r="125" spans="2:83" ht="30" customHeight="1" x14ac:dyDescent="0.25">
      <c r="B125" s="635" t="s">
        <v>257</v>
      </c>
      <c r="C125" s="388">
        <f t="shared" si="48"/>
        <v>88</v>
      </c>
      <c r="D125" s="382" t="s">
        <v>413</v>
      </c>
      <c r="E125" s="642"/>
      <c r="F125" s="642"/>
      <c r="G125" s="642"/>
      <c r="H125" s="642"/>
      <c r="I125" s="642"/>
      <c r="J125" s="642"/>
      <c r="K125" s="642"/>
      <c r="L125" s="642"/>
      <c r="M125" s="642"/>
      <c r="N125" s="642"/>
      <c r="O125" s="642"/>
      <c r="P125" s="642"/>
      <c r="Q125" s="642"/>
      <c r="R125" s="642"/>
      <c r="S125" s="642"/>
      <c r="T125" s="642"/>
      <c r="U125" s="1"/>
      <c r="V125" s="375" t="s">
        <v>102</v>
      </c>
      <c r="W125" s="638" t="s">
        <v>369</v>
      </c>
      <c r="X125" s="1" t="str">
        <f t="shared" si="49"/>
        <v xml:space="preserve"> </v>
      </c>
      <c r="Y125" s="1"/>
      <c r="Z125" s="389" t="str">
        <f t="shared" si="45"/>
        <v/>
      </c>
      <c r="AA125" s="274" t="str">
        <f>IF(Exigences!Y125=Présentation!$L$20,'Plan d''actions'!E116,IF(Exigences!Y125=Présentation!$L$21,'Plan d''actions'!E116,"Pas de plan d'actions à suggérer!"))</f>
        <v>Pas de plan d'actions à suggérer!</v>
      </c>
      <c r="AB125" s="277"/>
      <c r="AC125" s="277"/>
      <c r="AD125" s="277"/>
      <c r="AE125" s="404"/>
      <c r="AF125" s="401"/>
      <c r="AG125" s="401"/>
      <c r="AH125" s="3" t="s">
        <v>61</v>
      </c>
      <c r="AJ125" s="42"/>
      <c r="AL125" s="507">
        <f t="shared" si="50"/>
        <v>90</v>
      </c>
      <c r="AM125" s="504">
        <f t="shared" si="46"/>
        <v>0</v>
      </c>
      <c r="AN125" s="504" t="str">
        <f>IFERROR((VLOOKUP($Y125,Présentation!$L$20:$M$24,2,FALSE)),"")</f>
        <v/>
      </c>
      <c r="AO125" s="502" t="str">
        <f>IFERROR(CHOOSE($AN125,"",Présentation!$D$20,Présentation!$D$21,Présentation!$D$22,Présentation!$D$23,Présentation!$D$24),"")</f>
        <v/>
      </c>
      <c r="AP125" s="516">
        <f t="shared" si="51"/>
        <v>0</v>
      </c>
      <c r="AQ125" s="512">
        <f t="shared" si="47"/>
        <v>0.1</v>
      </c>
      <c r="AR125" s="502" t="str">
        <f t="shared" si="52"/>
        <v/>
      </c>
      <c r="AS125" s="502"/>
      <c r="AT125" s="502"/>
      <c r="AU125" s="502"/>
      <c r="AV125" s="502"/>
      <c r="AW125" s="501"/>
      <c r="AX125" s="502"/>
      <c r="AY125" s="501"/>
      <c r="AZ125" s="501"/>
      <c r="BC125" s="510" t="str">
        <f t="shared" si="36"/>
        <v xml:space="preserve"> </v>
      </c>
    </row>
    <row r="126" spans="2:83" ht="30" customHeight="1" x14ac:dyDescent="0.25">
      <c r="B126" s="644"/>
      <c r="C126" s="388">
        <f t="shared" si="48"/>
        <v>89</v>
      </c>
      <c r="D126" s="382" t="s">
        <v>368</v>
      </c>
      <c r="E126" s="642"/>
      <c r="F126" s="642"/>
      <c r="G126" s="642"/>
      <c r="H126" s="642"/>
      <c r="I126" s="642"/>
      <c r="J126" s="642"/>
      <c r="K126" s="642"/>
      <c r="L126" s="642"/>
      <c r="M126" s="642"/>
      <c r="N126" s="642"/>
      <c r="O126" s="642"/>
      <c r="P126" s="642"/>
      <c r="Q126" s="642"/>
      <c r="R126" s="642"/>
      <c r="S126" s="642"/>
      <c r="T126" s="642"/>
      <c r="U126" s="1"/>
      <c r="V126" s="375" t="s">
        <v>102</v>
      </c>
      <c r="W126" s="639"/>
      <c r="X126" s="1" t="str">
        <f t="shared" si="49"/>
        <v xml:space="preserve"> </v>
      </c>
      <c r="Y126" s="1"/>
      <c r="Z126" s="389" t="str">
        <f t="shared" si="45"/>
        <v/>
      </c>
      <c r="AA126" s="274" t="str">
        <f>IF(Exigences!Y126=Présentation!$L$20,'Plan d''actions'!E117,IF(Exigences!Y126=Présentation!$L$21,'Plan d''actions'!E117,"Pas de plan d'actions à suggérer!"))</f>
        <v>Pas de plan d'actions à suggérer!</v>
      </c>
      <c r="AB126" s="277"/>
      <c r="AC126" s="277"/>
      <c r="AD126" s="277"/>
      <c r="AE126" s="404"/>
      <c r="AF126" s="401"/>
      <c r="AG126" s="401"/>
      <c r="AH126" s="3" t="s">
        <v>61</v>
      </c>
      <c r="AJ126" s="42"/>
      <c r="AL126" s="507">
        <f t="shared" si="50"/>
        <v>91</v>
      </c>
      <c r="AM126" s="504">
        <f t="shared" si="46"/>
        <v>0</v>
      </c>
      <c r="AN126" s="504" t="str">
        <f>IFERROR((VLOOKUP($Y126,Présentation!$L$20:$M$24,2,FALSE)),"")</f>
        <v/>
      </c>
      <c r="AO126" s="502" t="str">
        <f>IFERROR(CHOOSE($AN126,"",Présentation!$D$20,Présentation!$D$21,Présentation!$D$22,Présentation!$D$23,Présentation!$D$24),"")</f>
        <v/>
      </c>
      <c r="AP126" s="516">
        <f t="shared" si="51"/>
        <v>0</v>
      </c>
      <c r="AQ126" s="512">
        <f t="shared" si="47"/>
        <v>0.1</v>
      </c>
      <c r="AR126" s="502" t="str">
        <f t="shared" si="52"/>
        <v/>
      </c>
      <c r="AS126" s="502"/>
      <c r="AT126" s="502"/>
      <c r="AU126" s="502"/>
      <c r="AV126" s="502"/>
      <c r="AW126" s="501"/>
      <c r="AX126" s="502"/>
      <c r="AY126" s="501"/>
      <c r="AZ126" s="501"/>
      <c r="BC126" s="510" t="str">
        <f t="shared" si="36"/>
        <v xml:space="preserve"> </v>
      </c>
    </row>
    <row r="127" spans="2:83" ht="39.75" customHeight="1" x14ac:dyDescent="0.25">
      <c r="B127" s="635" t="s">
        <v>258</v>
      </c>
      <c r="C127" s="388">
        <f>IF(ISERROR(#REF!+1),C126+1,#REF!+1)</f>
        <v>90</v>
      </c>
      <c r="D127" s="274" t="s">
        <v>370</v>
      </c>
      <c r="E127" s="642"/>
      <c r="F127" s="642"/>
      <c r="G127" s="642"/>
      <c r="H127" s="642"/>
      <c r="I127" s="642"/>
      <c r="J127" s="642"/>
      <c r="K127" s="642"/>
      <c r="L127" s="642"/>
      <c r="M127" s="642"/>
      <c r="N127" s="642"/>
      <c r="O127" s="642"/>
      <c r="P127" s="642"/>
      <c r="Q127" s="642"/>
      <c r="R127" s="642"/>
      <c r="S127" s="642"/>
      <c r="T127" s="642"/>
      <c r="U127" s="1"/>
      <c r="V127" s="375" t="s">
        <v>102</v>
      </c>
      <c r="W127" s="374" t="s">
        <v>371</v>
      </c>
      <c r="X127" s="1" t="str">
        <f t="shared" si="49"/>
        <v xml:space="preserve"> </v>
      </c>
      <c r="Y127" s="1"/>
      <c r="Z127" s="389" t="str">
        <f t="shared" si="45"/>
        <v/>
      </c>
      <c r="AA127" s="274" t="str">
        <f>IF(Exigences!Y127=Présentation!$L$20,'Plan d''actions'!E118,IF(Exigences!Y127=Présentation!$L$21,'Plan d''actions'!E118,"Pas de plan d'actions à suggérer!"))</f>
        <v>Pas de plan d'actions à suggérer!</v>
      </c>
      <c r="AB127" s="277"/>
      <c r="AC127" s="277"/>
      <c r="AD127" s="277"/>
      <c r="AE127" s="404"/>
      <c r="AF127" s="401"/>
      <c r="AG127" s="401"/>
      <c r="AH127" s="3" t="s">
        <v>61</v>
      </c>
      <c r="AJ127" s="42"/>
      <c r="AL127" s="507">
        <f>IF(AM127="Sous-Article","",IF(AL126="",AL125+1,AL126+1))</f>
        <v>92</v>
      </c>
      <c r="AM127" s="504">
        <f t="shared" si="46"/>
        <v>0</v>
      </c>
      <c r="AN127" s="504" t="str">
        <f>IFERROR((VLOOKUP($Y127,Présentation!$L$20:$M$24,2,FALSE)),"")</f>
        <v/>
      </c>
      <c r="AO127" s="502" t="str">
        <f>IFERROR(CHOOSE($AN127,"",Présentation!$D$20,Présentation!$D$21,Présentation!$D$22,Présentation!$D$23,Présentation!$D$24),"")</f>
        <v/>
      </c>
      <c r="AP127" s="516">
        <f t="shared" si="51"/>
        <v>0</v>
      </c>
      <c r="AQ127" s="512">
        <f t="shared" si="47"/>
        <v>0.1</v>
      </c>
      <c r="AR127" s="502" t="str">
        <f t="shared" si="52"/>
        <v/>
      </c>
      <c r="AS127" s="502"/>
      <c r="AT127" s="502"/>
      <c r="AU127" s="502"/>
      <c r="AV127" s="502"/>
      <c r="AW127" s="501"/>
      <c r="AX127" s="502"/>
      <c r="AY127" s="501"/>
      <c r="AZ127" s="501"/>
      <c r="BC127" s="510" t="str">
        <f t="shared" si="36"/>
        <v xml:space="preserve"> </v>
      </c>
    </row>
    <row r="128" spans="2:83" ht="56.25" customHeight="1" x14ac:dyDescent="0.25">
      <c r="B128" s="637"/>
      <c r="C128" s="388">
        <f>IF(ISERROR(C127+1),#REF!+1,C127+1)</f>
        <v>91</v>
      </c>
      <c r="D128" s="274" t="s">
        <v>372</v>
      </c>
      <c r="E128" s="642"/>
      <c r="F128" s="642"/>
      <c r="G128" s="642"/>
      <c r="H128" s="642"/>
      <c r="I128" s="642"/>
      <c r="J128" s="642"/>
      <c r="K128" s="642"/>
      <c r="L128" s="642"/>
      <c r="M128" s="642"/>
      <c r="N128" s="642"/>
      <c r="O128" s="642"/>
      <c r="P128" s="642"/>
      <c r="Q128" s="642"/>
      <c r="R128" s="642"/>
      <c r="S128" s="642"/>
      <c r="T128" s="642"/>
      <c r="U128" s="1"/>
      <c r="V128" s="375" t="s">
        <v>102</v>
      </c>
      <c r="W128" s="374" t="s">
        <v>373</v>
      </c>
      <c r="X128" s="1" t="str">
        <f t="shared" si="49"/>
        <v xml:space="preserve"> </v>
      </c>
      <c r="Y128" s="1"/>
      <c r="Z128" s="389" t="str">
        <f t="shared" si="45"/>
        <v/>
      </c>
      <c r="AA128" s="274" t="str">
        <f>IF(Exigences!Y128=Présentation!$L$20,'Plan d''actions'!E119,IF(Exigences!Y128=Présentation!$L$21,'Plan d''actions'!E119,"Pas de plan d'actions à suggérer!"))</f>
        <v>Pas de plan d'actions à suggérer!</v>
      </c>
      <c r="AB128" s="277"/>
      <c r="AC128" s="277"/>
      <c r="AD128" s="277"/>
      <c r="AE128" s="404"/>
      <c r="AF128" s="401"/>
      <c r="AG128" s="401"/>
      <c r="AH128" s="3" t="s">
        <v>61</v>
      </c>
      <c r="AJ128" s="42"/>
      <c r="AL128" s="507">
        <f>IF(AM128="Sous-Article","",IF(AL127="",#REF!+1,AL127+1))</f>
        <v>93</v>
      </c>
      <c r="AM128" s="504">
        <f t="shared" si="46"/>
        <v>0</v>
      </c>
      <c r="AN128" s="504" t="str">
        <f>IFERROR((VLOOKUP($Y128,Présentation!$L$20:$M$24,2,FALSE)),"")</f>
        <v/>
      </c>
      <c r="AO128" s="502" t="str">
        <f>IFERROR(CHOOSE($AN128,"",Présentation!$D$20,Présentation!$D$21,Présentation!$D$22,Présentation!$D$23,Présentation!$D$24),"")</f>
        <v/>
      </c>
      <c r="AP128" s="516">
        <f t="shared" si="51"/>
        <v>0</v>
      </c>
      <c r="AQ128" s="512">
        <f t="shared" si="47"/>
        <v>0.1</v>
      </c>
      <c r="AR128" s="502" t="str">
        <f t="shared" si="52"/>
        <v/>
      </c>
      <c r="AS128" s="502"/>
      <c r="AT128" s="502"/>
      <c r="AU128" s="502"/>
      <c r="AV128" s="502"/>
      <c r="AW128" s="501"/>
      <c r="AX128" s="502"/>
      <c r="AY128" s="501"/>
      <c r="AZ128" s="501"/>
      <c r="BC128" s="510" t="str">
        <f t="shared" si="36"/>
        <v xml:space="preserve"> </v>
      </c>
    </row>
    <row r="129" spans="2:83" ht="42.75" customHeight="1" x14ac:dyDescent="0.25">
      <c r="B129" s="637"/>
      <c r="C129" s="388">
        <f t="shared" si="48"/>
        <v>92</v>
      </c>
      <c r="D129" s="274" t="s">
        <v>386</v>
      </c>
      <c r="E129" s="642"/>
      <c r="F129" s="642"/>
      <c r="G129" s="642"/>
      <c r="H129" s="642"/>
      <c r="I129" s="642"/>
      <c r="J129" s="642"/>
      <c r="K129" s="642"/>
      <c r="L129" s="642"/>
      <c r="M129" s="642"/>
      <c r="N129" s="642"/>
      <c r="O129" s="642"/>
      <c r="P129" s="642"/>
      <c r="Q129" s="642"/>
      <c r="R129" s="642"/>
      <c r="S129" s="642"/>
      <c r="T129" s="642"/>
      <c r="U129" s="1"/>
      <c r="V129" s="375" t="s">
        <v>103</v>
      </c>
      <c r="W129" s="374" t="s">
        <v>374</v>
      </c>
      <c r="X129" s="1" t="str">
        <f t="shared" si="49"/>
        <v xml:space="preserve"> </v>
      </c>
      <c r="Y129" s="1"/>
      <c r="Z129" s="389" t="str">
        <f t="shared" si="45"/>
        <v/>
      </c>
      <c r="AA129" s="274" t="str">
        <f>IF(Exigences!Y129=Présentation!$L$20,'Plan d''actions'!E120,IF(Exigences!Y129=Présentation!$L$21,'Plan d''actions'!E120,"Pas de plan d'actions à suggérer!"))</f>
        <v>Pas de plan d'actions à suggérer!</v>
      </c>
      <c r="AB129" s="277"/>
      <c r="AC129" s="277"/>
      <c r="AD129" s="277"/>
      <c r="AE129" s="404"/>
      <c r="AF129" s="401"/>
      <c r="AG129" s="401"/>
      <c r="AH129" s="3" t="s">
        <v>61</v>
      </c>
      <c r="AJ129" s="42"/>
      <c r="AL129" s="507">
        <f t="shared" si="50"/>
        <v>94</v>
      </c>
      <c r="AM129" s="504">
        <f t="shared" si="46"/>
        <v>0</v>
      </c>
      <c r="AN129" s="504" t="str">
        <f>IFERROR((VLOOKUP($Y129,Présentation!$L$20:$M$24,2,FALSE)),"")</f>
        <v/>
      </c>
      <c r="AO129" s="502" t="str">
        <f>IFERROR(CHOOSE($AN129,"",Présentation!$D$20,Présentation!$D$21,Présentation!$D$22,Présentation!$D$23,Présentation!$D$24),"")</f>
        <v/>
      </c>
      <c r="AP129" s="516">
        <f t="shared" si="51"/>
        <v>0</v>
      </c>
      <c r="AQ129" s="512">
        <f t="shared" si="47"/>
        <v>0.1</v>
      </c>
      <c r="AR129" s="502" t="str">
        <f t="shared" si="52"/>
        <v/>
      </c>
      <c r="AS129" s="502"/>
      <c r="AT129" s="502"/>
      <c r="AU129" s="502"/>
      <c r="AV129" s="502"/>
      <c r="AW129" s="501"/>
      <c r="AX129" s="502"/>
      <c r="AY129" s="501"/>
      <c r="AZ129" s="501"/>
      <c r="BC129" s="510" t="str">
        <f t="shared" si="36"/>
        <v xml:space="preserve"> </v>
      </c>
    </row>
    <row r="130" spans="2:83" ht="41.25" customHeight="1" x14ac:dyDescent="0.25">
      <c r="B130" s="644"/>
      <c r="C130" s="388">
        <f t="shared" si="48"/>
        <v>93</v>
      </c>
      <c r="D130" s="274" t="s">
        <v>375</v>
      </c>
      <c r="E130" s="642"/>
      <c r="F130" s="642"/>
      <c r="G130" s="642"/>
      <c r="H130" s="642"/>
      <c r="I130" s="642"/>
      <c r="J130" s="642"/>
      <c r="K130" s="642"/>
      <c r="L130" s="642"/>
      <c r="M130" s="642"/>
      <c r="N130" s="642"/>
      <c r="O130" s="642"/>
      <c r="P130" s="642"/>
      <c r="Q130" s="642"/>
      <c r="R130" s="642"/>
      <c r="S130" s="642"/>
      <c r="T130" s="642"/>
      <c r="U130" s="1"/>
      <c r="V130" s="375" t="s">
        <v>103</v>
      </c>
      <c r="W130" s="638" t="s">
        <v>377</v>
      </c>
      <c r="X130" s="1" t="str">
        <f t="shared" si="49"/>
        <v xml:space="preserve"> </v>
      </c>
      <c r="Y130" s="1"/>
      <c r="Z130" s="389" t="str">
        <f t="shared" si="45"/>
        <v/>
      </c>
      <c r="AA130" s="274" t="str">
        <f>IF(Exigences!Y130=Présentation!$L$20,'Plan d''actions'!E121,IF(Exigences!Y130=Présentation!$L$21,'Plan d''actions'!E121,"Pas de plan d'actions à suggérer!"))</f>
        <v>Pas de plan d'actions à suggérer!</v>
      </c>
      <c r="AB130" s="277"/>
      <c r="AC130" s="277"/>
      <c r="AD130" s="277"/>
      <c r="AE130" s="404"/>
      <c r="AF130" s="401"/>
      <c r="AG130" s="401"/>
      <c r="AH130" s="3" t="s">
        <v>61</v>
      </c>
      <c r="AJ130" s="42"/>
      <c r="AL130" s="507">
        <f t="shared" si="50"/>
        <v>95</v>
      </c>
      <c r="AM130" s="504">
        <f t="shared" si="46"/>
        <v>0</v>
      </c>
      <c r="AN130" s="504" t="str">
        <f>IFERROR((VLOOKUP($Y130,Présentation!$L$20:$M$24,2,FALSE)),"")</f>
        <v/>
      </c>
      <c r="AO130" s="502" t="str">
        <f>IFERROR(CHOOSE($AN130,"",Présentation!$D$20,Présentation!$D$21,Présentation!$D$22,Présentation!$D$23,Présentation!$D$24),"")</f>
        <v/>
      </c>
      <c r="AP130" s="516">
        <f t="shared" si="51"/>
        <v>0</v>
      </c>
      <c r="AQ130" s="512">
        <f t="shared" si="47"/>
        <v>0.1</v>
      </c>
      <c r="AR130" s="502" t="str">
        <f t="shared" si="52"/>
        <v/>
      </c>
      <c r="AS130" s="502"/>
      <c r="AT130" s="502"/>
      <c r="AU130" s="502"/>
      <c r="AV130" s="502"/>
      <c r="AW130" s="501"/>
      <c r="AX130" s="502"/>
      <c r="AY130" s="501"/>
      <c r="AZ130" s="501"/>
      <c r="BC130" s="510" t="str">
        <f t="shared" si="36"/>
        <v xml:space="preserve"> </v>
      </c>
    </row>
    <row r="131" spans="2:83" ht="30" customHeight="1" x14ac:dyDescent="0.25">
      <c r="B131" s="291" t="s">
        <v>257</v>
      </c>
      <c r="C131" s="388">
        <f t="shared" si="48"/>
        <v>94</v>
      </c>
      <c r="D131" s="274" t="s">
        <v>376</v>
      </c>
      <c r="E131" s="642"/>
      <c r="F131" s="642"/>
      <c r="G131" s="642"/>
      <c r="H131" s="642"/>
      <c r="I131" s="642"/>
      <c r="J131" s="642"/>
      <c r="K131" s="642"/>
      <c r="L131" s="642"/>
      <c r="M131" s="642"/>
      <c r="N131" s="642"/>
      <c r="O131" s="642"/>
      <c r="P131" s="642"/>
      <c r="Q131" s="642"/>
      <c r="R131" s="642"/>
      <c r="S131" s="642"/>
      <c r="T131" s="642"/>
      <c r="U131" s="1"/>
      <c r="V131" s="375" t="s">
        <v>103</v>
      </c>
      <c r="W131" s="649"/>
      <c r="X131" s="1" t="str">
        <f t="shared" si="49"/>
        <v xml:space="preserve"> </v>
      </c>
      <c r="Y131" s="1"/>
      <c r="Z131" s="389" t="str">
        <f t="shared" si="45"/>
        <v/>
      </c>
      <c r="AA131" s="274" t="str">
        <f>IF(Exigences!Y131=Présentation!$L$20,'Plan d''actions'!E122,IF(Exigences!Y131=Présentation!$L$21,'Plan d''actions'!E122,"Pas de plan d'actions à suggérer!"))</f>
        <v>Pas de plan d'actions à suggérer!</v>
      </c>
      <c r="AB131" s="277"/>
      <c r="AC131" s="277"/>
      <c r="AD131" s="277"/>
      <c r="AE131" s="404"/>
      <c r="AF131" s="401"/>
      <c r="AG131" s="401"/>
      <c r="AH131" s="3" t="s">
        <v>61</v>
      </c>
      <c r="AJ131" s="42"/>
      <c r="AL131" s="507">
        <f t="shared" si="50"/>
        <v>96</v>
      </c>
      <c r="AM131" s="504">
        <f t="shared" si="46"/>
        <v>0</v>
      </c>
      <c r="AN131" s="504" t="str">
        <f>IFERROR((VLOOKUP($Y131,Présentation!$L$20:$M$24,2,FALSE)),"")</f>
        <v/>
      </c>
      <c r="AO131" s="502" t="str">
        <f>IFERROR(CHOOSE($AN131,"",Présentation!$D$20,Présentation!$D$21,Présentation!$D$22,Présentation!$D$23,Présentation!$D$24),"")</f>
        <v/>
      </c>
      <c r="AP131" s="516">
        <f t="shared" si="51"/>
        <v>0</v>
      </c>
      <c r="AQ131" s="512">
        <f t="shared" si="47"/>
        <v>0.1</v>
      </c>
      <c r="AR131" s="502" t="str">
        <f t="shared" si="52"/>
        <v/>
      </c>
      <c r="AS131" s="502"/>
      <c r="AT131" s="502"/>
      <c r="AU131" s="502"/>
      <c r="AV131" s="502"/>
      <c r="AW131" s="501"/>
      <c r="AX131" s="502"/>
      <c r="AY131" s="501"/>
      <c r="AZ131" s="501"/>
      <c r="BC131" s="510" t="str">
        <f t="shared" si="36"/>
        <v xml:space="preserve"> </v>
      </c>
    </row>
    <row r="132" spans="2:83" ht="56.25" x14ac:dyDescent="0.25">
      <c r="B132" s="291" t="s">
        <v>258</v>
      </c>
      <c r="C132" s="388">
        <f t="shared" si="48"/>
        <v>95</v>
      </c>
      <c r="D132" s="274" t="s">
        <v>442</v>
      </c>
      <c r="E132" s="643"/>
      <c r="F132" s="643"/>
      <c r="G132" s="643"/>
      <c r="H132" s="643"/>
      <c r="I132" s="643"/>
      <c r="J132" s="643"/>
      <c r="K132" s="643"/>
      <c r="L132" s="643"/>
      <c r="M132" s="643"/>
      <c r="N132" s="643"/>
      <c r="O132" s="643"/>
      <c r="P132" s="643"/>
      <c r="Q132" s="643"/>
      <c r="R132" s="643"/>
      <c r="S132" s="643"/>
      <c r="T132" s="643"/>
      <c r="U132" s="1"/>
      <c r="V132" s="375" t="s">
        <v>102</v>
      </c>
      <c r="W132" s="267" t="s">
        <v>378</v>
      </c>
      <c r="X132" s="1" t="str">
        <f t="shared" si="49"/>
        <v xml:space="preserve"> </v>
      </c>
      <c r="Y132" s="1"/>
      <c r="Z132" s="389" t="str">
        <f t="shared" si="45"/>
        <v/>
      </c>
      <c r="AA132" s="274" t="str">
        <f>IF(Exigences!Y132=Présentation!$L$20,'Plan d''actions'!E123,IF(Exigences!Y132=Présentation!$L$21,'Plan d''actions'!E123,"Pas de plan d'actions à suggérer!"))</f>
        <v>Pas de plan d'actions à suggérer!</v>
      </c>
      <c r="AB132" s="277"/>
      <c r="AC132" s="277"/>
      <c r="AD132" s="277"/>
      <c r="AE132" s="404"/>
      <c r="AF132" s="401"/>
      <c r="AG132" s="401"/>
      <c r="AH132" s="3" t="s">
        <v>61</v>
      </c>
      <c r="AJ132" s="42"/>
      <c r="AL132" s="507">
        <f>IF(AM132="Sous-Article","",IF(AL131="",AL123+1,AL131+1))</f>
        <v>97</v>
      </c>
      <c r="AM132" s="504">
        <f t="shared" si="46"/>
        <v>0</v>
      </c>
      <c r="AN132" s="504" t="str">
        <f>IFERROR((VLOOKUP($Y132,Présentation!$L$20:$M$24,2,FALSE)),"")</f>
        <v/>
      </c>
      <c r="AO132" s="502" t="str">
        <f>IFERROR(CHOOSE($AN132,"",Présentation!$D$20,Présentation!$D$21,Présentation!$D$22,Présentation!$D$23,Présentation!$D$24),"")</f>
        <v/>
      </c>
      <c r="AP132" s="516">
        <f t="shared" si="51"/>
        <v>0</v>
      </c>
      <c r="AQ132" s="512">
        <f t="shared" si="47"/>
        <v>0.1</v>
      </c>
      <c r="AR132" s="502" t="str">
        <f t="shared" si="52"/>
        <v/>
      </c>
      <c r="AS132" s="502"/>
      <c r="AT132" s="502"/>
      <c r="AU132" s="502"/>
      <c r="AV132" s="502"/>
      <c r="AW132" s="501"/>
      <c r="AX132" s="502"/>
      <c r="AY132" s="501"/>
      <c r="AZ132" s="501"/>
      <c r="BC132" s="510" t="str">
        <f t="shared" si="36"/>
        <v xml:space="preserve"> </v>
      </c>
    </row>
    <row r="133" spans="2:83" ht="30" customHeight="1" x14ac:dyDescent="0.25">
      <c r="B133" s="224"/>
      <c r="C133" s="224" t="s">
        <v>161</v>
      </c>
      <c r="D133" s="231" t="s">
        <v>164</v>
      </c>
      <c r="E133" s="641"/>
      <c r="F133" s="641"/>
      <c r="G133" s="641"/>
      <c r="H133" s="641"/>
      <c r="I133" s="641"/>
      <c r="J133" s="641"/>
      <c r="K133" s="641"/>
      <c r="L133" s="641"/>
      <c r="M133" s="641"/>
      <c r="N133" s="641"/>
      <c r="O133" s="641"/>
      <c r="P133" s="641"/>
      <c r="Q133" s="641"/>
      <c r="R133" s="641"/>
      <c r="S133" s="641"/>
      <c r="T133" s="641"/>
      <c r="U133" s="172" t="s">
        <v>261</v>
      </c>
      <c r="V133" s="172" t="s">
        <v>104</v>
      </c>
      <c r="W133" s="172" t="s">
        <v>188</v>
      </c>
      <c r="X133" s="172" t="s">
        <v>262</v>
      </c>
      <c r="Y133" s="172" t="str">
        <f>AS133</f>
        <v>Niveau non applicable</v>
      </c>
      <c r="Z133" s="172" t="str">
        <f>IF($Y133="Niveau non applicable","NA",$AR133)</f>
        <v>NA</v>
      </c>
      <c r="AA133" s="172" t="s">
        <v>296</v>
      </c>
      <c r="AB133" s="276" t="s">
        <v>638</v>
      </c>
      <c r="AC133" s="276" t="s">
        <v>605</v>
      </c>
      <c r="AD133" s="276" t="s">
        <v>279</v>
      </c>
      <c r="AE133" s="405" t="s">
        <v>280</v>
      </c>
      <c r="AF133" s="402" t="s">
        <v>281</v>
      </c>
      <c r="AG133" s="276" t="s">
        <v>527</v>
      </c>
      <c r="AH133" s="253" t="s">
        <v>101</v>
      </c>
      <c r="AJ133" s="42"/>
      <c r="AL133" s="507" t="str">
        <f>IF(AM133="Sous-Article","",IF(AL132="",AL131+1,AL132+1))</f>
        <v/>
      </c>
      <c r="AM133" s="511" t="s">
        <v>24</v>
      </c>
      <c r="AN133" s="511"/>
      <c r="AO133" s="501" t="s">
        <v>28</v>
      </c>
      <c r="AP133" s="501"/>
      <c r="AQ133" s="512">
        <f>SUM(AQ134:AQ135)</f>
        <v>1</v>
      </c>
      <c r="AR133" s="502">
        <f>IFERROR(SUM(AR134:AR135),"")</f>
        <v>0</v>
      </c>
      <c r="AS133" s="505" t="str">
        <f>IFERROR(IF(AR133=Présentation!$F$24,Présentation!$H$24,IF(AR133&lt;=Présentation!$F$20,Présentation!$G$20,IF(AR133&lt;=Présentation!$F$21,Présentation!$G$21,IF(AR133&lt;=Présentation!$F$22,Présentation!$G$22,Présentation!$G$23)))),"")</f>
        <v>Niveau non applicable</v>
      </c>
      <c r="AT133" s="513">
        <f>IF(AS133="Niveau Non applicable",1,0)</f>
        <v>1</v>
      </c>
      <c r="AU133" s="502">
        <f>IF(AS133="Niveau Non applicable",0,1/COUNTIF($AT$87:$AT$140,"=0"))</f>
        <v>0</v>
      </c>
      <c r="AV133" s="502">
        <f>AU133*AR133</f>
        <v>0</v>
      </c>
      <c r="AW133" s="501"/>
      <c r="AX133" s="502"/>
      <c r="AY133" s="501"/>
      <c r="AZ133" s="501"/>
      <c r="BC133" s="510" t="str">
        <f t="shared" si="36"/>
        <v xml:space="preserve"> </v>
      </c>
    </row>
    <row r="134" spans="2:83" ht="30" customHeight="1" x14ac:dyDescent="0.25">
      <c r="B134" s="650" t="s">
        <v>258</v>
      </c>
      <c r="C134" s="388">
        <f>IF(ISERROR(C133+1),C132+1,C133+1)</f>
        <v>96</v>
      </c>
      <c r="D134" s="274" t="s">
        <v>379</v>
      </c>
      <c r="E134" s="642"/>
      <c r="F134" s="642"/>
      <c r="G134" s="642"/>
      <c r="H134" s="642"/>
      <c r="I134" s="642"/>
      <c r="J134" s="642"/>
      <c r="K134" s="642"/>
      <c r="L134" s="642"/>
      <c r="M134" s="642"/>
      <c r="N134" s="642"/>
      <c r="O134" s="642"/>
      <c r="P134" s="642"/>
      <c r="Q134" s="642"/>
      <c r="R134" s="642"/>
      <c r="S134" s="642"/>
      <c r="T134" s="642"/>
      <c r="U134" s="1"/>
      <c r="V134" s="375" t="s">
        <v>102</v>
      </c>
      <c r="W134" s="638" t="s">
        <v>380</v>
      </c>
      <c r="X134" s="1" t="str">
        <f>BC134</f>
        <v xml:space="preserve"> </v>
      </c>
      <c r="Y134" s="1"/>
      <c r="Z134" s="389" t="str">
        <f>IF($U134="Non","NA",$AO134)</f>
        <v/>
      </c>
      <c r="AA134" s="274" t="str">
        <f>IF(Exigences!Y134=Présentation!$L$20,'Plan d''actions'!E125,IF(Exigences!Y134=Présentation!$L$21,'Plan d''actions'!E125,"Pas de plan d'actions à suggérer!"))</f>
        <v>Pas de plan d'actions à suggérer!</v>
      </c>
      <c r="AB134" s="277"/>
      <c r="AC134" s="277"/>
      <c r="AD134" s="277"/>
      <c r="AE134" s="404"/>
      <c r="AF134" s="401"/>
      <c r="AG134" s="401"/>
      <c r="AH134" s="3" t="s">
        <v>61</v>
      </c>
      <c r="AJ134" s="42"/>
      <c r="AL134" s="507">
        <f>IF(AM134="Sous-Article","",IF(AL133="",AL132+1,AL133+1))</f>
        <v>98</v>
      </c>
      <c r="AM134" s="504">
        <f>Y134</f>
        <v>0</v>
      </c>
      <c r="AN134" s="504" t="str">
        <f>IFERROR((VLOOKUP($Y134,Présentation!$L$20:$M$24,2,FALSE)),"")</f>
        <v/>
      </c>
      <c r="AO134" s="502" t="str">
        <f>IFERROR(CHOOSE($AN134,"",Présentation!$D$20,Présentation!$D$21,Présentation!$D$22,Présentation!$D$23,Présentation!$D$24),"")</f>
        <v/>
      </c>
      <c r="AP134" s="516">
        <f>IF(AM134="Non applicable",1,0)</f>
        <v>0</v>
      </c>
      <c r="AQ134" s="512">
        <f>IF(AM134="Non applicable",0,1/COUNTIF($AP$134:$AP$135,"=0"))</f>
        <v>0.5</v>
      </c>
      <c r="AR134" s="502" t="str">
        <f>IFERROR(AO134*AQ134,"")</f>
        <v/>
      </c>
      <c r="AS134" s="502"/>
      <c r="AT134" s="502"/>
      <c r="AU134" s="502"/>
      <c r="AV134" s="502"/>
      <c r="AW134" s="501"/>
      <c r="AX134" s="502"/>
      <c r="AY134" s="501"/>
      <c r="AZ134" s="501"/>
      <c r="BC134" s="510" t="str">
        <f t="shared" si="36"/>
        <v xml:space="preserve"> </v>
      </c>
    </row>
    <row r="135" spans="2:83" ht="30" customHeight="1" x14ac:dyDescent="0.25">
      <c r="B135" s="644"/>
      <c r="C135" s="388">
        <f>IF(ISERROR(#REF!+1),C134+1,#REF!+1)</f>
        <v>97</v>
      </c>
      <c r="D135" s="274" t="s">
        <v>518</v>
      </c>
      <c r="E135" s="643"/>
      <c r="F135" s="643"/>
      <c r="G135" s="643"/>
      <c r="H135" s="643"/>
      <c r="I135" s="643"/>
      <c r="J135" s="643"/>
      <c r="K135" s="643"/>
      <c r="L135" s="643"/>
      <c r="M135" s="643"/>
      <c r="N135" s="643"/>
      <c r="O135" s="643"/>
      <c r="P135" s="643"/>
      <c r="Q135" s="643"/>
      <c r="R135" s="643"/>
      <c r="S135" s="643"/>
      <c r="T135" s="643"/>
      <c r="U135" s="1"/>
      <c r="V135" s="375" t="s">
        <v>102</v>
      </c>
      <c r="W135" s="649"/>
      <c r="X135" s="1" t="str">
        <f>BC135</f>
        <v xml:space="preserve"> </v>
      </c>
      <c r="Y135" s="1"/>
      <c r="Z135" s="389" t="str">
        <f>IF($U135="Non","NA",$AO135)</f>
        <v/>
      </c>
      <c r="AA135" s="274" t="str">
        <f>IF(Exigences!Y135=Présentation!$L$20,'Plan d''actions'!E126,IF(Exigences!Y135=Présentation!$L$21,'Plan d''actions'!E126,"Pas de plan d'actions à suggérer!"))</f>
        <v>Pas de plan d'actions à suggérer!</v>
      </c>
      <c r="AB135" s="277"/>
      <c r="AC135" s="277"/>
      <c r="AD135" s="277"/>
      <c r="AE135" s="404"/>
      <c r="AF135" s="401"/>
      <c r="AG135" s="401"/>
      <c r="AH135" s="3" t="s">
        <v>61</v>
      </c>
      <c r="AJ135" s="42"/>
      <c r="AL135" s="507">
        <f>IF(AM135="Sous-Article","",IF(AL134="",AL132+1,AL134+1))</f>
        <v>99</v>
      </c>
      <c r="AM135" s="504">
        <f>Y135</f>
        <v>0</v>
      </c>
      <c r="AN135" s="504" t="str">
        <f>IFERROR((VLOOKUP($Y135,Présentation!$L$20:$M$24,2,FALSE)),"")</f>
        <v/>
      </c>
      <c r="AO135" s="502" t="str">
        <f>IFERROR(CHOOSE($AN135,"",Présentation!$D$20,Présentation!$D$21,Présentation!$D$22,Présentation!$D$23,Présentation!$D$24),"")</f>
        <v/>
      </c>
      <c r="AP135" s="516">
        <f>IF(AM135="Non applicable",1,0)</f>
        <v>0</v>
      </c>
      <c r="AQ135" s="512">
        <f>IF(AM135="Non applicable",0,1/COUNTIF($AP$134:$AP$135,"=0"))</f>
        <v>0.5</v>
      </c>
      <c r="AR135" s="502" t="str">
        <f>IFERROR(AO135*AQ135,"")</f>
        <v/>
      </c>
      <c r="AS135" s="502"/>
      <c r="AT135" s="502"/>
      <c r="AU135" s="502"/>
      <c r="AV135" s="502"/>
      <c r="AW135" s="501"/>
      <c r="AX135" s="502"/>
      <c r="AY135" s="501"/>
      <c r="AZ135" s="501"/>
      <c r="BC135" s="510" t="str">
        <f t="shared" si="36"/>
        <v xml:space="preserve"> </v>
      </c>
    </row>
    <row r="136" spans="2:83" ht="30" customHeight="1" x14ac:dyDescent="0.25">
      <c r="B136" s="224"/>
      <c r="C136" s="224" t="s">
        <v>165</v>
      </c>
      <c r="D136" s="231" t="s">
        <v>166</v>
      </c>
      <c r="E136" s="641"/>
      <c r="F136" s="641"/>
      <c r="G136" s="641"/>
      <c r="H136" s="641"/>
      <c r="I136" s="641"/>
      <c r="J136" s="641"/>
      <c r="K136" s="641"/>
      <c r="L136" s="641"/>
      <c r="M136" s="641"/>
      <c r="N136" s="641"/>
      <c r="O136" s="641"/>
      <c r="P136" s="641"/>
      <c r="Q136" s="641"/>
      <c r="R136" s="641"/>
      <c r="S136" s="641"/>
      <c r="T136" s="641"/>
      <c r="U136" s="172" t="s">
        <v>261</v>
      </c>
      <c r="V136" s="172" t="s">
        <v>104</v>
      </c>
      <c r="W136" s="172" t="s">
        <v>188</v>
      </c>
      <c r="X136" s="172" t="s">
        <v>262</v>
      </c>
      <c r="Y136" s="172" t="str">
        <f>AS136</f>
        <v>Niveau non applicable</v>
      </c>
      <c r="Z136" s="172" t="str">
        <f>IF($Y136="Niveau non applicable","NA",$AR136)</f>
        <v>NA</v>
      </c>
      <c r="AA136" s="172" t="s">
        <v>296</v>
      </c>
      <c r="AB136" s="276" t="s">
        <v>638</v>
      </c>
      <c r="AC136" s="276" t="s">
        <v>605</v>
      </c>
      <c r="AD136" s="276" t="s">
        <v>279</v>
      </c>
      <c r="AE136" s="405" t="s">
        <v>280</v>
      </c>
      <c r="AF136" s="402" t="s">
        <v>281</v>
      </c>
      <c r="AG136" s="276" t="s">
        <v>527</v>
      </c>
      <c r="AH136" s="253" t="s">
        <v>101</v>
      </c>
      <c r="AJ136" s="42"/>
      <c r="AL136" s="507" t="str">
        <f>IF(AM136="Sous-Article","",IF(AL135="",#REF!+1,AL135+1))</f>
        <v/>
      </c>
      <c r="AM136" s="511" t="s">
        <v>24</v>
      </c>
      <c r="AN136" s="511"/>
      <c r="AO136" s="501" t="s">
        <v>28</v>
      </c>
      <c r="AP136" s="501"/>
      <c r="AQ136" s="512">
        <f>SUM(AQ137:AQ140)</f>
        <v>1</v>
      </c>
      <c r="AR136" s="502">
        <f>IFERROR(SUM(AR137:AR140),"")</f>
        <v>0</v>
      </c>
      <c r="AS136" s="505" t="str">
        <f>IFERROR(IF(AR136=Présentation!$F$24,Présentation!$H$24,IF(AR136&lt;=Présentation!$F$20,Présentation!$G$20,IF(AR136&lt;=Présentation!$F$21,Présentation!$G$21,IF(AR136&lt;=Présentation!$F$22,Présentation!$G$22,Présentation!$G$23)))),"")</f>
        <v>Niveau non applicable</v>
      </c>
      <c r="AT136" s="513">
        <f>IF(AS136="Niveau Non applicable",1,0)</f>
        <v>1</v>
      </c>
      <c r="AU136" s="502">
        <f>IF(AS136="Niveau Non applicable",0,1/COUNTIF($AT$87:$AT$140,"=0"))</f>
        <v>0</v>
      </c>
      <c r="AV136" s="502">
        <f>AU136*AR136</f>
        <v>0</v>
      </c>
      <c r="AW136" s="501"/>
      <c r="AX136" s="502"/>
      <c r="AY136" s="501"/>
      <c r="AZ136" s="501"/>
      <c r="BC136" s="510" t="str">
        <f t="shared" si="36"/>
        <v xml:space="preserve"> </v>
      </c>
    </row>
    <row r="137" spans="2:83" ht="30" customHeight="1" x14ac:dyDescent="0.25">
      <c r="B137" s="635" t="s">
        <v>258</v>
      </c>
      <c r="C137" s="388">
        <f>IF(ISERROR(C136+1),C135+1,C136+1)</f>
        <v>98</v>
      </c>
      <c r="D137" s="274" t="s">
        <v>520</v>
      </c>
      <c r="E137" s="642"/>
      <c r="F137" s="642"/>
      <c r="G137" s="642"/>
      <c r="H137" s="642"/>
      <c r="I137" s="642"/>
      <c r="J137" s="642"/>
      <c r="K137" s="642"/>
      <c r="L137" s="642"/>
      <c r="M137" s="642"/>
      <c r="N137" s="642"/>
      <c r="O137" s="642"/>
      <c r="P137" s="642"/>
      <c r="Q137" s="642"/>
      <c r="R137" s="642"/>
      <c r="S137" s="642"/>
      <c r="T137" s="642"/>
      <c r="U137" s="1"/>
      <c r="V137" s="375" t="s">
        <v>102</v>
      </c>
      <c r="W137" s="638" t="s">
        <v>431</v>
      </c>
      <c r="X137" s="1" t="str">
        <f>BC137</f>
        <v xml:space="preserve"> </v>
      </c>
      <c r="Y137" s="1"/>
      <c r="Z137" s="389" t="str">
        <f>IF($U137="Non","NA",$AO137)</f>
        <v/>
      </c>
      <c r="AA137" s="274" t="str">
        <f>IF(Exigences!Y137=Présentation!$L$20,'Plan d''actions'!E128,IF(Exigences!Y137=Présentation!$L$21,'Plan d''actions'!E128,"Pas de plan d'actions à suggérer!"))</f>
        <v>Pas de plan d'actions à suggérer!</v>
      </c>
      <c r="AB137" s="277"/>
      <c r="AC137" s="277"/>
      <c r="AD137" s="277"/>
      <c r="AE137" s="404"/>
      <c r="AF137" s="401"/>
      <c r="AG137" s="401"/>
      <c r="AH137" s="3" t="s">
        <v>61</v>
      </c>
      <c r="AJ137" s="42"/>
      <c r="AL137" s="507">
        <f>IF(AM137="Sous-Article","",IF(AL136="",AL135+1,AL136+1))</f>
        <v>100</v>
      </c>
      <c r="AM137" s="504">
        <f>Y137</f>
        <v>0</v>
      </c>
      <c r="AN137" s="504" t="str">
        <f>IFERROR((VLOOKUP($Y137,Présentation!$L$20:$M$24,2,FALSE)),"")</f>
        <v/>
      </c>
      <c r="AO137" s="502" t="str">
        <f>IFERROR(CHOOSE($AN137,"",Présentation!$D$20,Présentation!$D$21,Présentation!$D$22,Présentation!$D$23,Présentation!$D$24),"")</f>
        <v/>
      </c>
      <c r="AP137" s="516">
        <f>IF(AM137="Non applicable",1,0)</f>
        <v>0</v>
      </c>
      <c r="AQ137" s="512">
        <f>IF(AM137="Non applicable",0,1/COUNTIF($AP$137:$AP$140,"=0"))</f>
        <v>0.25</v>
      </c>
      <c r="AR137" s="502" t="str">
        <f>IFERROR(AO137*AQ137,"")</f>
        <v/>
      </c>
      <c r="AS137" s="502"/>
      <c r="AT137" s="502"/>
      <c r="AU137" s="502"/>
      <c r="AV137" s="502"/>
      <c r="AW137" s="501"/>
      <c r="AX137" s="502"/>
      <c r="AY137" s="501"/>
      <c r="AZ137" s="501"/>
      <c r="BC137" s="510" t="str">
        <f t="shared" si="36"/>
        <v xml:space="preserve"> </v>
      </c>
    </row>
    <row r="138" spans="2:83" ht="20.25" customHeight="1" x14ac:dyDescent="0.25">
      <c r="B138" s="637"/>
      <c r="C138" s="388">
        <f>IF(ISERROR(C137+1),C136+1,C137+1)</f>
        <v>99</v>
      </c>
      <c r="D138" s="274" t="s">
        <v>381</v>
      </c>
      <c r="E138" s="642"/>
      <c r="F138" s="642"/>
      <c r="G138" s="642"/>
      <c r="H138" s="642"/>
      <c r="I138" s="642"/>
      <c r="J138" s="642"/>
      <c r="K138" s="642"/>
      <c r="L138" s="642"/>
      <c r="M138" s="642"/>
      <c r="N138" s="642"/>
      <c r="O138" s="642"/>
      <c r="P138" s="642"/>
      <c r="Q138" s="642"/>
      <c r="R138" s="642"/>
      <c r="S138" s="642"/>
      <c r="T138" s="642"/>
      <c r="U138" s="1"/>
      <c r="V138" s="375" t="s">
        <v>102</v>
      </c>
      <c r="W138" s="639"/>
      <c r="X138" s="1" t="str">
        <f>BC138</f>
        <v xml:space="preserve"> </v>
      </c>
      <c r="Y138" s="1"/>
      <c r="Z138" s="389" t="str">
        <f>IF($U138="Non","NA",$AO138)</f>
        <v/>
      </c>
      <c r="AA138" s="274" t="str">
        <f>IF(Exigences!Y138=Présentation!$L$20,'Plan d''actions'!E129,IF(Exigences!Y138=Présentation!$L$21,'Plan d''actions'!E129,"Pas de plan d'actions à suggérer!"))</f>
        <v>Pas de plan d'actions à suggérer!</v>
      </c>
      <c r="AB138" s="277"/>
      <c r="AC138" s="277"/>
      <c r="AD138" s="277"/>
      <c r="AE138" s="404"/>
      <c r="AF138" s="401"/>
      <c r="AG138" s="401"/>
      <c r="AH138" s="3" t="s">
        <v>61</v>
      </c>
      <c r="AJ138" s="42"/>
      <c r="AL138" s="507">
        <f>IF(AM138="Sous-Article","",IF(AL137="",AL136+1,AL137+1))</f>
        <v>101</v>
      </c>
      <c r="AM138" s="504">
        <f>Y138</f>
        <v>0</v>
      </c>
      <c r="AN138" s="504" t="str">
        <f>IFERROR((VLOOKUP($Y138,Présentation!$L$20:$M$24,2,FALSE)),"")</f>
        <v/>
      </c>
      <c r="AO138" s="502" t="str">
        <f>IFERROR(CHOOSE($AN138,"",Présentation!$D$20,Présentation!$D$21,Présentation!$D$22,Présentation!$D$23,Présentation!$D$24),"")</f>
        <v/>
      </c>
      <c r="AP138" s="516">
        <f>IF(AM138="Non applicable",1,0)</f>
        <v>0</v>
      </c>
      <c r="AQ138" s="512">
        <f>IF(AM138="Non applicable",0,1/COUNTIF($AP$137:$AP$140,"=0"))</f>
        <v>0.25</v>
      </c>
      <c r="AR138" s="502" t="str">
        <f>IFERROR(AO138*AQ138,"")</f>
        <v/>
      </c>
      <c r="AS138" s="502"/>
      <c r="AT138" s="502"/>
      <c r="AU138" s="502"/>
      <c r="AV138" s="502"/>
      <c r="AW138" s="501"/>
      <c r="AX138" s="502"/>
      <c r="AY138" s="501"/>
      <c r="AZ138" s="501"/>
      <c r="BC138" s="510" t="str">
        <f t="shared" si="36"/>
        <v xml:space="preserve"> </v>
      </c>
    </row>
    <row r="139" spans="2:83" ht="19.5" customHeight="1" x14ac:dyDescent="0.25">
      <c r="B139" s="644"/>
      <c r="C139" s="388">
        <f>IF(ISERROR(C138+1),C137+1,C138+1)</f>
        <v>100</v>
      </c>
      <c r="D139" s="274" t="s">
        <v>382</v>
      </c>
      <c r="E139" s="642"/>
      <c r="F139" s="642"/>
      <c r="G139" s="642"/>
      <c r="H139" s="642"/>
      <c r="I139" s="642"/>
      <c r="J139" s="642"/>
      <c r="K139" s="642"/>
      <c r="L139" s="642"/>
      <c r="M139" s="642"/>
      <c r="N139" s="642"/>
      <c r="O139" s="642"/>
      <c r="P139" s="642"/>
      <c r="Q139" s="642"/>
      <c r="R139" s="642"/>
      <c r="S139" s="642"/>
      <c r="T139" s="642"/>
      <c r="U139" s="1"/>
      <c r="V139" s="375" t="s">
        <v>102</v>
      </c>
      <c r="W139" s="639"/>
      <c r="X139" s="1" t="str">
        <f>BC139</f>
        <v xml:space="preserve"> </v>
      </c>
      <c r="Y139" s="1"/>
      <c r="Z139" s="389" t="str">
        <f>IF($U139="Non","NA",$AO139)</f>
        <v/>
      </c>
      <c r="AA139" s="274" t="str">
        <f>IF(Exigences!Y139=Présentation!$L$20,'Plan d''actions'!E130,IF(Exigences!Y139=Présentation!$L$21,'Plan d''actions'!E130,"Pas de plan d'actions à suggérer!"))</f>
        <v>Pas de plan d'actions à suggérer!</v>
      </c>
      <c r="AB139" s="277"/>
      <c r="AC139" s="277"/>
      <c r="AD139" s="277"/>
      <c r="AE139" s="404"/>
      <c r="AF139" s="401"/>
      <c r="AG139" s="401"/>
      <c r="AH139" s="3" t="s">
        <v>61</v>
      </c>
      <c r="AJ139" s="42"/>
      <c r="AL139" s="507">
        <f>IF(AM139="Sous-Article","",IF(AL138="",AL137+1,AL138+1))</f>
        <v>102</v>
      </c>
      <c r="AM139" s="504">
        <f>Y139</f>
        <v>0</v>
      </c>
      <c r="AN139" s="504" t="str">
        <f>IFERROR((VLOOKUP($Y139,Présentation!$L$20:$M$24,2,FALSE)),"")</f>
        <v/>
      </c>
      <c r="AO139" s="502" t="str">
        <f>IFERROR(CHOOSE($AN139,"",Présentation!$D$20,Présentation!$D$21,Présentation!$D$22,Présentation!$D$23,Présentation!$D$24),"")</f>
        <v/>
      </c>
      <c r="AP139" s="516">
        <f>IF(AM139="Non applicable",1,0)</f>
        <v>0</v>
      </c>
      <c r="AQ139" s="512">
        <f>IF(AM139="Non applicable",0,1/COUNTIF($AP$137:$AP$140,"=0"))</f>
        <v>0.25</v>
      </c>
      <c r="AR139" s="502" t="str">
        <f>IFERROR(AO139*AQ139,"")</f>
        <v/>
      </c>
      <c r="AS139" s="502"/>
      <c r="AT139" s="502"/>
      <c r="AU139" s="502"/>
      <c r="AV139" s="502"/>
      <c r="AW139" s="501"/>
      <c r="AX139" s="502"/>
      <c r="AY139" s="501"/>
      <c r="AZ139" s="501"/>
      <c r="BC139" s="510" t="str">
        <f t="shared" si="36"/>
        <v xml:space="preserve"> </v>
      </c>
    </row>
    <row r="140" spans="2:83" ht="22.5" x14ac:dyDescent="0.25">
      <c r="B140" s="291" t="s">
        <v>257</v>
      </c>
      <c r="C140" s="388">
        <f>IF(ISERROR(C139+1),C138+1,C139+1)</f>
        <v>101</v>
      </c>
      <c r="D140" s="274" t="s">
        <v>383</v>
      </c>
      <c r="E140" s="643"/>
      <c r="F140" s="643"/>
      <c r="G140" s="643"/>
      <c r="H140" s="643"/>
      <c r="I140" s="643"/>
      <c r="J140" s="643"/>
      <c r="K140" s="643"/>
      <c r="L140" s="643"/>
      <c r="M140" s="643"/>
      <c r="N140" s="643"/>
      <c r="O140" s="643"/>
      <c r="P140" s="643"/>
      <c r="Q140" s="643"/>
      <c r="R140" s="643"/>
      <c r="S140" s="643"/>
      <c r="T140" s="643"/>
      <c r="U140" s="1"/>
      <c r="V140" s="375" t="s">
        <v>102</v>
      </c>
      <c r="W140" s="640"/>
      <c r="X140" s="1" t="str">
        <f>BC140</f>
        <v xml:space="preserve"> </v>
      </c>
      <c r="Y140" s="1"/>
      <c r="Z140" s="389" t="str">
        <f>IF($U140="Non","NA",$AO140)</f>
        <v/>
      </c>
      <c r="AA140" s="274" t="str">
        <f>IF(Exigences!Y140=Présentation!$L$20,'Plan d''actions'!E131,IF(Exigences!Y140=Présentation!$L$21,'Plan d''actions'!E131,"Pas de plan d'actions à suggérer!"))</f>
        <v>Pas de plan d'actions à suggérer!</v>
      </c>
      <c r="AB140" s="277"/>
      <c r="AC140" s="277"/>
      <c r="AD140" s="277"/>
      <c r="AE140" s="404"/>
      <c r="AF140" s="401"/>
      <c r="AG140" s="401"/>
      <c r="AH140" s="3" t="s">
        <v>61</v>
      </c>
      <c r="AJ140" s="42"/>
      <c r="AL140" s="507">
        <f>IF(AM140="Sous-Article","",IF(AL139="",AL138+1,AL139+1))</f>
        <v>103</v>
      </c>
      <c r="AM140" s="504">
        <f>Y140</f>
        <v>0</v>
      </c>
      <c r="AN140" s="504" t="str">
        <f>IFERROR((VLOOKUP($Y140,Présentation!$L$20:$M$24,2,FALSE)),"")</f>
        <v/>
      </c>
      <c r="AO140" s="502" t="str">
        <f>IFERROR(CHOOSE($AN140,"",Présentation!$D$20,Présentation!$D$21,Présentation!$D$22,Présentation!$D$23,Présentation!$D$24),"")</f>
        <v/>
      </c>
      <c r="AP140" s="516">
        <f>IF(AM140="Non applicable",1,0)</f>
        <v>0</v>
      </c>
      <c r="AQ140" s="512">
        <f>IF(AM140="Non applicable",0,1/COUNTIF($AP$137:$AP$140,"=0"))</f>
        <v>0.25</v>
      </c>
      <c r="AR140" s="502" t="str">
        <f>IFERROR(AO140*AQ140,"")</f>
        <v/>
      </c>
      <c r="AS140" s="502"/>
      <c r="AT140" s="502"/>
      <c r="AU140" s="502"/>
      <c r="AV140" s="502"/>
      <c r="AW140" s="501"/>
      <c r="AX140" s="502"/>
      <c r="AY140" s="501"/>
      <c r="AZ140" s="501"/>
      <c r="BC140" s="510" t="str">
        <f t="shared" si="36"/>
        <v xml:space="preserve"> </v>
      </c>
    </row>
    <row r="141" spans="2:83" s="438" customFormat="1" ht="30" customHeight="1" x14ac:dyDescent="0.25">
      <c r="B141" s="223"/>
      <c r="C141" s="223">
        <v>9</v>
      </c>
      <c r="D141" s="230" t="s">
        <v>173</v>
      </c>
      <c r="E141" s="441"/>
      <c r="F141" s="442"/>
      <c r="G141" s="442"/>
      <c r="H141" s="442"/>
      <c r="I141" s="442"/>
      <c r="J141" s="442"/>
      <c r="K141" s="442"/>
      <c r="L141" s="442"/>
      <c r="M141" s="442"/>
      <c r="N141" s="442"/>
      <c r="O141" s="442"/>
      <c r="P141" s="442"/>
      <c r="Q141" s="442"/>
      <c r="R141" s="442"/>
      <c r="S141" s="442"/>
      <c r="T141" s="442"/>
      <c r="U141" s="430" t="s">
        <v>261</v>
      </c>
      <c r="V141" s="653" t="s">
        <v>100</v>
      </c>
      <c r="W141" s="654"/>
      <c r="X141" s="654"/>
      <c r="Y141" s="171" t="str">
        <f>AW141</f>
        <v>Niveau non applicable</v>
      </c>
      <c r="Z141" s="171" t="str">
        <f>IF($Y141="Niveau non applicable","NA",AV141)</f>
        <v>NA</v>
      </c>
      <c r="AA141" s="171" t="s">
        <v>296</v>
      </c>
      <c r="AB141" s="171" t="s">
        <v>638</v>
      </c>
      <c r="AC141" s="171" t="s">
        <v>605</v>
      </c>
      <c r="AD141" s="171" t="s">
        <v>279</v>
      </c>
      <c r="AE141" s="443" t="s">
        <v>280</v>
      </c>
      <c r="AF141" s="444" t="s">
        <v>281</v>
      </c>
      <c r="AG141" s="444" t="s">
        <v>527</v>
      </c>
      <c r="AH141" s="171" t="s">
        <v>101</v>
      </c>
      <c r="AJ141" s="42"/>
      <c r="AK141" s="182"/>
      <c r="AL141" s="507" t="str">
        <f>IF(AM141="Article","",IF(AL140="",AL138+1,AL140+1))</f>
        <v/>
      </c>
      <c r="AM141" s="504" t="s">
        <v>23</v>
      </c>
      <c r="AN141" s="504"/>
      <c r="AO141" s="501"/>
      <c r="AP141" s="501"/>
      <c r="AQ141" s="512"/>
      <c r="AR141" s="502"/>
      <c r="AS141" s="502" t="s">
        <v>28</v>
      </c>
      <c r="AT141" s="502"/>
      <c r="AU141" s="507">
        <f>SUM(AU142:AU155)</f>
        <v>0</v>
      </c>
      <c r="AV141" s="507">
        <f>SUM(AV142:AV155)</f>
        <v>0</v>
      </c>
      <c r="AW141" s="505" t="str">
        <f>IFERROR(IF(AV141=Présentation!$D$24,Présentation!$H$24,IF(AV141&lt;=Présentation!$F$20,Présentation!$G$20,IF(AV141&lt;=Présentation!$F$21,Présentation!$G$21,IF(AV141&lt;=Présentation!$F$22,Présentation!$G$22,Présentation!$G$23)))),"")</f>
        <v>Niveau non applicable</v>
      </c>
      <c r="AX141" s="502">
        <f>1/7</f>
        <v>0.14285714285714285</v>
      </c>
      <c r="AY141" s="502">
        <f>AV141*AX141</f>
        <v>0</v>
      </c>
      <c r="AZ141" s="508"/>
      <c r="BA141" s="496"/>
      <c r="BB141" s="496"/>
      <c r="BC141" s="510" t="str">
        <f t="shared" ref="BC141:BC162" si="53">IF(U141="non","NA"," ")</f>
        <v xml:space="preserve"> </v>
      </c>
      <c r="BD141" s="496"/>
      <c r="BE141" s="496"/>
      <c r="BF141" s="496"/>
      <c r="BG141" s="496"/>
      <c r="BH141" s="496"/>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row>
    <row r="142" spans="2:83" ht="30" customHeight="1" x14ac:dyDescent="0.25">
      <c r="B142" s="224"/>
      <c r="C142" s="224" t="s">
        <v>167</v>
      </c>
      <c r="D142" s="231" t="s">
        <v>174</v>
      </c>
      <c r="E142" s="397"/>
      <c r="F142" s="397"/>
      <c r="G142" s="397"/>
      <c r="H142" s="397"/>
      <c r="I142" s="397"/>
      <c r="J142" s="397"/>
      <c r="K142" s="397"/>
      <c r="L142" s="397"/>
      <c r="M142" s="397"/>
      <c r="N142" s="397"/>
      <c r="O142" s="397"/>
      <c r="P142" s="397"/>
      <c r="Q142" s="397"/>
      <c r="R142" s="397"/>
      <c r="S142" s="397"/>
      <c r="T142" s="397"/>
      <c r="U142" s="172" t="s">
        <v>261</v>
      </c>
      <c r="V142" s="172" t="s">
        <v>104</v>
      </c>
      <c r="W142" s="172" t="s">
        <v>188</v>
      </c>
      <c r="X142" s="172" t="s">
        <v>262</v>
      </c>
      <c r="Y142" s="172" t="str">
        <f>AS142</f>
        <v>Niveau non applicable</v>
      </c>
      <c r="Z142" s="172" t="str">
        <f>IF($Y142="Niveau non applicable","NA",$AR142)</f>
        <v>NA</v>
      </c>
      <c r="AA142" s="172" t="s">
        <v>296</v>
      </c>
      <c r="AB142" s="276" t="s">
        <v>638</v>
      </c>
      <c r="AC142" s="276" t="s">
        <v>605</v>
      </c>
      <c r="AD142" s="276" t="s">
        <v>279</v>
      </c>
      <c r="AE142" s="405" t="s">
        <v>280</v>
      </c>
      <c r="AF142" s="402" t="s">
        <v>281</v>
      </c>
      <c r="AG142" s="276" t="s">
        <v>527</v>
      </c>
      <c r="AH142" s="253" t="s">
        <v>101</v>
      </c>
      <c r="AJ142" s="42"/>
      <c r="AL142" s="507" t="str">
        <f>IF(AM142="Sous-Article","",IF(AL141="",#REF!+1,AL141+1))</f>
        <v/>
      </c>
      <c r="AM142" s="511" t="s">
        <v>24</v>
      </c>
      <c r="AN142" s="511"/>
      <c r="AO142" s="501" t="s">
        <v>28</v>
      </c>
      <c r="AP142" s="501"/>
      <c r="AQ142" s="512">
        <f>SUM(AQ143:AQ148)</f>
        <v>0.99999999999999989</v>
      </c>
      <c r="AR142" s="502">
        <f>IFERROR(SUM(AR143:AR148),"")</f>
        <v>0</v>
      </c>
      <c r="AS142" s="505" t="str">
        <f>IFERROR(IF(AR142=Présentation!$F$24,Présentation!$H$24,IF(AR142&lt;=Présentation!$F$20,Présentation!$G$20,IF(AR142&lt;=Présentation!$F$21,Présentation!$G$21,IF(AR142&lt;=Présentation!$F$22,Présentation!$G$22,Présentation!$G$23)))),"")</f>
        <v>Niveau non applicable</v>
      </c>
      <c r="AT142" s="513">
        <f>IF(AS142="Niveau Non applicable",1,0)</f>
        <v>1</v>
      </c>
      <c r="AU142" s="502">
        <f>IF(AS142="Niveau Non applicable",0,1/COUNTIF($AT$142:$AT$155,"=0"))</f>
        <v>0</v>
      </c>
      <c r="AV142" s="502">
        <f>AU142*AR142</f>
        <v>0</v>
      </c>
      <c r="AW142" s="508"/>
      <c r="AX142" s="514"/>
      <c r="AY142" s="508"/>
      <c r="AZ142" s="508"/>
      <c r="BC142" s="510" t="str">
        <f t="shared" si="53"/>
        <v xml:space="preserve"> </v>
      </c>
    </row>
    <row r="143" spans="2:83" ht="45" customHeight="1" x14ac:dyDescent="0.25">
      <c r="B143" s="635" t="s">
        <v>258</v>
      </c>
      <c r="C143" s="388">
        <f>IF(ISERROR(C142+1),C140+1,C142+1)</f>
        <v>102</v>
      </c>
      <c r="D143" s="274" t="s">
        <v>595</v>
      </c>
      <c r="E143" s="398"/>
      <c r="F143" s="398"/>
      <c r="G143" s="398"/>
      <c r="H143" s="398"/>
      <c r="I143" s="398"/>
      <c r="J143" s="398"/>
      <c r="K143" s="398"/>
      <c r="L143" s="398"/>
      <c r="M143" s="398"/>
      <c r="N143" s="398"/>
      <c r="O143" s="398"/>
      <c r="P143" s="398"/>
      <c r="Q143" s="398"/>
      <c r="R143" s="398"/>
      <c r="S143" s="398"/>
      <c r="T143" s="398"/>
      <c r="U143" s="375" t="s">
        <v>102</v>
      </c>
      <c r="V143" s="375" t="s">
        <v>102</v>
      </c>
      <c r="W143" s="638" t="s">
        <v>586</v>
      </c>
      <c r="X143" s="1" t="str">
        <f>BC143</f>
        <v xml:space="preserve"> </v>
      </c>
      <c r="Y143" s="1"/>
      <c r="Z143" s="389" t="str">
        <f t="shared" ref="Z143:Z148" si="54">IF($U143="Non","NA",$AO143)</f>
        <v/>
      </c>
      <c r="AA143" s="274" t="str">
        <f>IF(Exigences!Y143=Présentation!$L$20,'Plan d''actions'!E134,IF(Exigences!Y143=Présentation!$L$21,'Plan d''actions'!E134,"Pas de plan d'actions à suggérer!"))</f>
        <v>Pas de plan d'actions à suggérer!</v>
      </c>
      <c r="AB143" s="277"/>
      <c r="AC143" s="277"/>
      <c r="AD143" s="277"/>
      <c r="AE143" s="404"/>
      <c r="AF143" s="401"/>
      <c r="AG143" s="401"/>
      <c r="AH143" s="3" t="s">
        <v>61</v>
      </c>
      <c r="AJ143" s="42"/>
      <c r="AL143" s="507">
        <f>IF(AM143="Sous-Article","",IF(AL142="",AL140+1,AL142+1))</f>
        <v>104</v>
      </c>
      <c r="AM143" s="504">
        <f t="shared" ref="AM143:AM148" si="55">Y143</f>
        <v>0</v>
      </c>
      <c r="AN143" s="504" t="str">
        <f>IFERROR((VLOOKUP($Y143,Présentation!$L$20:$M$24,2,FALSE)),"")</f>
        <v/>
      </c>
      <c r="AO143" s="502" t="str">
        <f>IFERROR(CHOOSE($AN143,"",Présentation!$D$20,Présentation!$D$21,Présentation!$D$22,Présentation!$D$23,Présentation!$D$24),"")</f>
        <v/>
      </c>
      <c r="AP143" s="516">
        <f t="shared" ref="AP143:AP148" si="56">IF(AM143="Non applicable",1,0)</f>
        <v>0</v>
      </c>
      <c r="AQ143" s="512">
        <f>IF(AM143="Non applicable",0,1/COUNTIF($AP$143:$AP$148,"=0"))</f>
        <v>0.16666666666666666</v>
      </c>
      <c r="AR143" s="502" t="str">
        <f t="shared" ref="AR143:AR148" si="57">IFERROR(AO143*AQ143,"")</f>
        <v/>
      </c>
      <c r="AS143" s="502"/>
      <c r="AT143" s="502"/>
      <c r="AU143" s="502"/>
      <c r="AV143" s="502"/>
      <c r="AW143" s="501"/>
      <c r="AX143" s="502"/>
      <c r="AY143" s="501"/>
      <c r="AZ143" s="501"/>
      <c r="BC143" s="510" t="str">
        <f t="shared" si="53"/>
        <v xml:space="preserve"> </v>
      </c>
    </row>
    <row r="144" spans="2:83" ht="45" customHeight="1" x14ac:dyDescent="0.25">
      <c r="B144" s="636"/>
      <c r="C144" s="388">
        <f t="shared" ref="C144:C148" si="58">IF(ISERROR(C143+1),C141+1,C143+1)</f>
        <v>103</v>
      </c>
      <c r="D144" s="274" t="s">
        <v>594</v>
      </c>
      <c r="E144" s="398"/>
      <c r="F144" s="398"/>
      <c r="G144" s="398"/>
      <c r="H144" s="398"/>
      <c r="I144" s="398"/>
      <c r="J144" s="398"/>
      <c r="K144" s="398"/>
      <c r="L144" s="398"/>
      <c r="M144" s="398"/>
      <c r="N144" s="398"/>
      <c r="O144" s="398"/>
      <c r="P144" s="398"/>
      <c r="Q144" s="398"/>
      <c r="R144" s="398"/>
      <c r="S144" s="398"/>
      <c r="T144" s="398"/>
      <c r="U144" s="1"/>
      <c r="V144" s="375" t="s">
        <v>102</v>
      </c>
      <c r="W144" s="639"/>
      <c r="X144" s="1"/>
      <c r="Y144" s="1"/>
      <c r="Z144" s="389" t="str">
        <f t="shared" si="54"/>
        <v/>
      </c>
      <c r="AA144" s="274" t="str">
        <f>IF(Exigences!Y144=Présentation!$L$20,'Plan d''actions'!E135,IF(Exigences!Y144=Présentation!$L$21,'Plan d''actions'!E135,"Pas de plan d'actions à suggérer!"))</f>
        <v>Pas de plan d'actions à suggérer!</v>
      </c>
      <c r="AB144" s="277"/>
      <c r="AC144" s="277"/>
      <c r="AD144" s="277"/>
      <c r="AE144" s="404"/>
      <c r="AF144" s="401"/>
      <c r="AG144" s="401"/>
      <c r="AH144" s="3"/>
      <c r="AJ144" s="42"/>
      <c r="AL144" s="507">
        <f t="shared" ref="AL144:AL149" si="59">IF(AM144="Sous-Article","",IF(AL143="",AL141+1,AL143+1))</f>
        <v>105</v>
      </c>
      <c r="AM144" s="504">
        <f t="shared" si="55"/>
        <v>0</v>
      </c>
      <c r="AN144" s="504" t="str">
        <f>IFERROR((VLOOKUP($Y144,Présentation!$L$20:$M$24,2,FALSE)),"")</f>
        <v/>
      </c>
      <c r="AO144" s="502" t="str">
        <f>IFERROR(CHOOSE($AN144,"",Présentation!$D$20,Présentation!$D$21,Présentation!$D$22,Présentation!$D$23,Présentation!$D$24),"")</f>
        <v/>
      </c>
      <c r="AP144" s="516">
        <f t="shared" si="56"/>
        <v>0</v>
      </c>
      <c r="AQ144" s="512">
        <f t="shared" ref="AQ144:AQ148" si="60">IF(AM144="Non applicable",0,1/COUNTIF($AP$143:$AP$148,"=0"))</f>
        <v>0.16666666666666666</v>
      </c>
      <c r="AR144" s="502" t="str">
        <f t="shared" si="57"/>
        <v/>
      </c>
      <c r="AS144" s="502"/>
      <c r="AT144" s="502"/>
      <c r="AU144" s="502"/>
      <c r="AV144" s="502"/>
      <c r="AW144" s="501"/>
      <c r="AX144" s="502"/>
      <c r="AY144" s="501"/>
      <c r="AZ144" s="501"/>
      <c r="BC144" s="510" t="str">
        <f t="shared" si="53"/>
        <v xml:space="preserve"> </v>
      </c>
    </row>
    <row r="145" spans="2:83" ht="45" customHeight="1" x14ac:dyDescent="0.25">
      <c r="B145" s="637" t="s">
        <v>257</v>
      </c>
      <c r="C145" s="388">
        <f t="shared" si="58"/>
        <v>104</v>
      </c>
      <c r="D145" s="382" t="s">
        <v>593</v>
      </c>
      <c r="E145" s="398"/>
      <c r="F145" s="398"/>
      <c r="G145" s="398"/>
      <c r="H145" s="398"/>
      <c r="I145" s="398"/>
      <c r="J145" s="398"/>
      <c r="K145" s="398"/>
      <c r="L145" s="398"/>
      <c r="M145" s="398"/>
      <c r="N145" s="398"/>
      <c r="O145" s="398"/>
      <c r="P145" s="398"/>
      <c r="Q145" s="398"/>
      <c r="R145" s="398"/>
      <c r="S145" s="398"/>
      <c r="T145" s="398"/>
      <c r="U145" s="1"/>
      <c r="V145" s="375" t="s">
        <v>102</v>
      </c>
      <c r="W145" s="639"/>
      <c r="X145" s="1"/>
      <c r="Y145" s="1"/>
      <c r="Z145" s="389" t="str">
        <f t="shared" si="54"/>
        <v/>
      </c>
      <c r="AA145" s="274" t="str">
        <f>IF(Exigences!Y145=Présentation!$L$20,'Plan d''actions'!E136,IF(Exigences!Y145=Présentation!$L$21,'Plan d''actions'!E136,"Pas de plan d'actions à suggérer!"))</f>
        <v>Pas de plan d'actions à suggérer!</v>
      </c>
      <c r="AB145" s="277"/>
      <c r="AC145" s="277"/>
      <c r="AD145" s="277"/>
      <c r="AE145" s="404"/>
      <c r="AF145" s="401"/>
      <c r="AG145" s="401"/>
      <c r="AH145" s="3"/>
      <c r="AJ145" s="42"/>
      <c r="AL145" s="507">
        <f t="shared" si="59"/>
        <v>106</v>
      </c>
      <c r="AM145" s="504">
        <f t="shared" si="55"/>
        <v>0</v>
      </c>
      <c r="AN145" s="504" t="str">
        <f>IFERROR((VLOOKUP($Y145,Présentation!$L$20:$M$24,2,FALSE)),"")</f>
        <v/>
      </c>
      <c r="AO145" s="502" t="str">
        <f>IFERROR(CHOOSE($AN145,"",Présentation!$D$20,Présentation!$D$21,Présentation!$D$22,Présentation!$D$23,Présentation!$D$24),"")</f>
        <v/>
      </c>
      <c r="AP145" s="516">
        <f t="shared" si="56"/>
        <v>0</v>
      </c>
      <c r="AQ145" s="512">
        <f t="shared" si="60"/>
        <v>0.16666666666666666</v>
      </c>
      <c r="AR145" s="502" t="str">
        <f t="shared" si="57"/>
        <v/>
      </c>
      <c r="AS145" s="502"/>
      <c r="AT145" s="502"/>
      <c r="AU145" s="502"/>
      <c r="AV145" s="502"/>
      <c r="AW145" s="501"/>
      <c r="AX145" s="502"/>
      <c r="AY145" s="501"/>
      <c r="AZ145" s="501"/>
      <c r="BC145" s="510" t="str">
        <f t="shared" si="53"/>
        <v xml:space="preserve"> </v>
      </c>
    </row>
    <row r="146" spans="2:83" ht="45" customHeight="1" x14ac:dyDescent="0.25">
      <c r="B146" s="637"/>
      <c r="C146" s="388">
        <f t="shared" si="58"/>
        <v>105</v>
      </c>
      <c r="D146" s="382" t="s">
        <v>584</v>
      </c>
      <c r="E146" s="421"/>
      <c r="F146" s="421" t="s">
        <v>585</v>
      </c>
      <c r="G146" s="421" t="s">
        <v>585</v>
      </c>
      <c r="H146" s="421" t="s">
        <v>585</v>
      </c>
      <c r="I146" s="421"/>
      <c r="J146" s="421"/>
      <c r="K146" s="421"/>
      <c r="L146" s="421"/>
      <c r="M146" s="421"/>
      <c r="N146" s="421"/>
      <c r="O146" s="421"/>
      <c r="P146" s="421"/>
      <c r="Q146" s="421"/>
      <c r="R146" s="421"/>
      <c r="S146" s="421"/>
      <c r="T146" s="421"/>
      <c r="U146" s="1"/>
      <c r="V146" s="375" t="s">
        <v>102</v>
      </c>
      <c r="W146" s="639"/>
      <c r="X146" s="1"/>
      <c r="Y146" s="1"/>
      <c r="Z146" s="389" t="str">
        <f t="shared" si="54"/>
        <v/>
      </c>
      <c r="AA146" s="274" t="str">
        <f>IF(Exigences!Y146=Présentation!$L$20,'Plan d''actions'!E137,IF(Exigences!Y146=Présentation!$L$21,'Plan d''actions'!E137,"Pas de plan d'actions à suggérer!"))</f>
        <v>Pas de plan d'actions à suggérer!</v>
      </c>
      <c r="AB146" s="277"/>
      <c r="AC146" s="277"/>
      <c r="AD146" s="277"/>
      <c r="AE146" s="404"/>
      <c r="AF146" s="401"/>
      <c r="AG146" s="401"/>
      <c r="AH146" s="3"/>
      <c r="AJ146" s="42"/>
      <c r="AL146" s="507">
        <f t="shared" si="59"/>
        <v>107</v>
      </c>
      <c r="AM146" s="504">
        <f t="shared" si="55"/>
        <v>0</v>
      </c>
      <c r="AN146" s="504" t="str">
        <f>IFERROR((VLOOKUP($Y146,Présentation!$L$20:$M$24,2,FALSE)),"")</f>
        <v/>
      </c>
      <c r="AO146" s="502" t="str">
        <f>IFERROR(CHOOSE($AN146,"",Présentation!$D$20,Présentation!$D$21,Présentation!$D$22,Présentation!$D$23,Présentation!$D$24),"")</f>
        <v/>
      </c>
      <c r="AP146" s="516">
        <f t="shared" si="56"/>
        <v>0</v>
      </c>
      <c r="AQ146" s="512">
        <f t="shared" si="60"/>
        <v>0.16666666666666666</v>
      </c>
      <c r="AR146" s="502" t="str">
        <f t="shared" si="57"/>
        <v/>
      </c>
      <c r="AS146" s="502"/>
      <c r="AT146" s="502"/>
      <c r="AU146" s="502"/>
      <c r="AV146" s="502"/>
      <c r="AW146" s="501"/>
      <c r="AX146" s="502"/>
      <c r="AY146" s="501"/>
      <c r="AZ146" s="501"/>
      <c r="BC146" s="510" t="str">
        <f t="shared" si="53"/>
        <v xml:space="preserve"> </v>
      </c>
    </row>
    <row r="147" spans="2:83" ht="45" customHeight="1" x14ac:dyDescent="0.25">
      <c r="B147" s="635" t="s">
        <v>258</v>
      </c>
      <c r="C147" s="388">
        <f t="shared" si="58"/>
        <v>106</v>
      </c>
      <c r="D147" s="274" t="s">
        <v>385</v>
      </c>
      <c r="E147" s="421" t="s">
        <v>585</v>
      </c>
      <c r="F147" s="421" t="s">
        <v>585</v>
      </c>
      <c r="G147" s="421" t="s">
        <v>585</v>
      </c>
      <c r="H147" s="421" t="s">
        <v>585</v>
      </c>
      <c r="I147" s="421" t="s">
        <v>585</v>
      </c>
      <c r="J147" s="421" t="s">
        <v>585</v>
      </c>
      <c r="K147" s="421" t="s">
        <v>585</v>
      </c>
      <c r="L147" s="421" t="s">
        <v>585</v>
      </c>
      <c r="M147" s="421" t="s">
        <v>585</v>
      </c>
      <c r="N147" s="421" t="s">
        <v>585</v>
      </c>
      <c r="O147" s="421" t="s">
        <v>585</v>
      </c>
      <c r="P147" s="421" t="s">
        <v>585</v>
      </c>
      <c r="Q147" s="421" t="s">
        <v>585</v>
      </c>
      <c r="R147" s="421" t="s">
        <v>585</v>
      </c>
      <c r="S147" s="421" t="s">
        <v>585</v>
      </c>
      <c r="T147" s="421" t="s">
        <v>585</v>
      </c>
      <c r="U147" s="1"/>
      <c r="V147" s="375" t="s">
        <v>102</v>
      </c>
      <c r="W147" s="649"/>
      <c r="X147" s="1" t="str">
        <f t="shared" ref="X147:X155" si="61">BC147</f>
        <v xml:space="preserve"> </v>
      </c>
      <c r="Y147" s="1"/>
      <c r="Z147" s="389" t="str">
        <f t="shared" si="54"/>
        <v/>
      </c>
      <c r="AA147" s="274" t="str">
        <f>IF(Exigences!Y147=Présentation!$L$20,'Plan d''actions'!E138,IF(Exigences!Y147=Présentation!$L$21,'Plan d''actions'!E138,"Pas de plan d'actions à suggérer!"))</f>
        <v>Pas de plan d'actions à suggérer!</v>
      </c>
      <c r="AB147" s="277"/>
      <c r="AC147" s="277"/>
      <c r="AD147" s="277"/>
      <c r="AE147" s="404"/>
      <c r="AF147" s="401"/>
      <c r="AG147" s="401"/>
      <c r="AH147" s="3" t="s">
        <v>61</v>
      </c>
      <c r="AJ147" s="42"/>
      <c r="AL147" s="507">
        <f t="shared" si="59"/>
        <v>108</v>
      </c>
      <c r="AM147" s="504">
        <f t="shared" si="55"/>
        <v>0</v>
      </c>
      <c r="AN147" s="504" t="str">
        <f>IFERROR((VLOOKUP($Y147,Présentation!$L$20:$M$24,2,FALSE)),"")</f>
        <v/>
      </c>
      <c r="AO147" s="502" t="str">
        <f>IFERROR(CHOOSE($AN147,"",Présentation!$D$20,Présentation!$D$21,Présentation!$D$22,Présentation!$D$23,Présentation!$D$24),"")</f>
        <v/>
      </c>
      <c r="AP147" s="516">
        <f t="shared" si="56"/>
        <v>0</v>
      </c>
      <c r="AQ147" s="512">
        <f t="shared" si="60"/>
        <v>0.16666666666666666</v>
      </c>
      <c r="AR147" s="502" t="str">
        <f t="shared" si="57"/>
        <v/>
      </c>
      <c r="AS147" s="502"/>
      <c r="AT147" s="502"/>
      <c r="AU147" s="502"/>
      <c r="AV147" s="502"/>
      <c r="AW147" s="501"/>
      <c r="AX147" s="502"/>
      <c r="AY147" s="501"/>
      <c r="AZ147" s="501"/>
      <c r="BC147" s="510" t="str">
        <f t="shared" si="53"/>
        <v xml:space="preserve"> </v>
      </c>
    </row>
    <row r="148" spans="2:83" ht="60.75" customHeight="1" x14ac:dyDescent="0.25">
      <c r="B148" s="636"/>
      <c r="C148" s="388">
        <f t="shared" si="58"/>
        <v>107</v>
      </c>
      <c r="D148" s="274" t="s">
        <v>592</v>
      </c>
      <c r="E148" s="398"/>
      <c r="F148" s="398"/>
      <c r="G148" s="398"/>
      <c r="H148" s="398"/>
      <c r="I148" s="398"/>
      <c r="J148" s="398"/>
      <c r="K148" s="398"/>
      <c r="L148" s="398"/>
      <c r="M148" s="398"/>
      <c r="N148" s="398"/>
      <c r="O148" s="398"/>
      <c r="P148" s="398"/>
      <c r="Q148" s="398"/>
      <c r="R148" s="398"/>
      <c r="S148" s="398"/>
      <c r="T148" s="398"/>
      <c r="U148" s="1"/>
      <c r="V148" s="375" t="s">
        <v>102</v>
      </c>
      <c r="W148" s="267" t="s">
        <v>583</v>
      </c>
      <c r="X148" s="1"/>
      <c r="Y148" s="1"/>
      <c r="Z148" s="389" t="str">
        <f t="shared" si="54"/>
        <v/>
      </c>
      <c r="AA148" s="274" t="str">
        <f>IF(Exigences!Y148=Présentation!$L$20,'Plan d''actions'!E139,IF(Exigences!Y148=Présentation!$L$21,'Plan d''actions'!E139,"Pas de plan d'actions à suggérer!"))</f>
        <v>Pas de plan d'actions à suggérer!</v>
      </c>
      <c r="AB148" s="277"/>
      <c r="AC148" s="277"/>
      <c r="AD148" s="277"/>
      <c r="AE148" s="404"/>
      <c r="AF148" s="401"/>
      <c r="AG148" s="401"/>
      <c r="AH148" s="3"/>
      <c r="AJ148" s="42"/>
      <c r="AL148" s="507">
        <f t="shared" si="59"/>
        <v>109</v>
      </c>
      <c r="AM148" s="504">
        <f t="shared" si="55"/>
        <v>0</v>
      </c>
      <c r="AN148" s="504" t="str">
        <f>IFERROR((VLOOKUP($Y148,Présentation!$L$20:$M$24,2,FALSE)),"")</f>
        <v/>
      </c>
      <c r="AO148" s="502" t="str">
        <f>IFERROR(CHOOSE($AN148,"",Présentation!$D$20,Présentation!$D$21,Présentation!$D$22,Présentation!$D$23,Présentation!$D$24),"")</f>
        <v/>
      </c>
      <c r="AP148" s="516">
        <f t="shared" si="56"/>
        <v>0</v>
      </c>
      <c r="AQ148" s="512">
        <f t="shared" si="60"/>
        <v>0.16666666666666666</v>
      </c>
      <c r="AR148" s="502" t="str">
        <f t="shared" si="57"/>
        <v/>
      </c>
      <c r="AS148" s="502"/>
      <c r="AT148" s="502"/>
      <c r="AU148" s="502"/>
      <c r="AV148" s="502"/>
      <c r="AW148" s="501"/>
      <c r="AX148" s="502"/>
      <c r="AY148" s="501"/>
      <c r="AZ148" s="501"/>
      <c r="BC148" s="510" t="str">
        <f t="shared" si="53"/>
        <v xml:space="preserve"> </v>
      </c>
    </row>
    <row r="149" spans="2:83" ht="30" customHeight="1" x14ac:dyDescent="0.25">
      <c r="B149" s="224"/>
      <c r="C149" s="224" t="s">
        <v>168</v>
      </c>
      <c r="D149" s="231" t="s">
        <v>175</v>
      </c>
      <c r="E149" s="641"/>
      <c r="F149" s="641"/>
      <c r="G149" s="641"/>
      <c r="H149" s="641"/>
      <c r="I149" s="641"/>
      <c r="J149" s="641"/>
      <c r="K149" s="641"/>
      <c r="L149" s="641"/>
      <c r="M149" s="641"/>
      <c r="N149" s="641"/>
      <c r="O149" s="641"/>
      <c r="P149" s="641"/>
      <c r="Q149" s="641"/>
      <c r="R149" s="641"/>
      <c r="S149" s="641"/>
      <c r="T149" s="641"/>
      <c r="U149" s="172" t="s">
        <v>261</v>
      </c>
      <c r="V149" s="172" t="s">
        <v>104</v>
      </c>
      <c r="W149" s="172" t="s">
        <v>188</v>
      </c>
      <c r="X149" s="172" t="s">
        <v>262</v>
      </c>
      <c r="Y149" s="172" t="str">
        <f>AS149</f>
        <v>Niveau non applicable</v>
      </c>
      <c r="Z149" s="172" t="str">
        <f>IF($Y149="Niveau non applicable","NA",$AR149)</f>
        <v>NA</v>
      </c>
      <c r="AA149" s="172" t="s">
        <v>296</v>
      </c>
      <c r="AB149" s="276" t="s">
        <v>638</v>
      </c>
      <c r="AC149" s="276" t="s">
        <v>605</v>
      </c>
      <c r="AD149" s="276" t="s">
        <v>279</v>
      </c>
      <c r="AE149" s="405" t="s">
        <v>280</v>
      </c>
      <c r="AF149" s="402" t="s">
        <v>281</v>
      </c>
      <c r="AG149" s="276" t="s">
        <v>527</v>
      </c>
      <c r="AH149" s="253" t="s">
        <v>101</v>
      </c>
      <c r="AJ149" s="42"/>
      <c r="AL149" s="507" t="str">
        <f t="shared" si="59"/>
        <v/>
      </c>
      <c r="AM149" s="511" t="s">
        <v>24</v>
      </c>
      <c r="AN149" s="511"/>
      <c r="AO149" s="501" t="s">
        <v>28</v>
      </c>
      <c r="AP149" s="501"/>
      <c r="AQ149" s="512">
        <f>SUM(AQ150:AQ152)</f>
        <v>1</v>
      </c>
      <c r="AR149" s="502">
        <f>IFERROR(SUM(AR150:AR152),"")</f>
        <v>0</v>
      </c>
      <c r="AS149" s="505" t="str">
        <f>IFERROR(IF(AR149=Présentation!$F$24,Présentation!$H$24,IF(AR149&lt;=Présentation!$F$20,Présentation!$G$20,IF(AR149&lt;=Présentation!$F$21,Présentation!$G$21,IF(AR149&lt;=Présentation!$F$22,Présentation!$G$22,Présentation!$G$23)))),"")</f>
        <v>Niveau non applicable</v>
      </c>
      <c r="AT149" s="513">
        <f>IF(AS149="Niveau Non applicable",1,0)</f>
        <v>1</v>
      </c>
      <c r="AU149" s="502">
        <f>IF(AS149="Niveau Non applicable",0,1/COUNTIF($AT$142:$AT$155,"=0"))</f>
        <v>0</v>
      </c>
      <c r="AV149" s="502">
        <f>AU149*AR149</f>
        <v>0</v>
      </c>
      <c r="AW149" s="501"/>
      <c r="AX149" s="502"/>
      <c r="AY149" s="501"/>
      <c r="AZ149" s="501"/>
      <c r="BC149" s="510" t="str">
        <f t="shared" si="53"/>
        <v xml:space="preserve"> </v>
      </c>
    </row>
    <row r="150" spans="2:83" ht="36" x14ac:dyDescent="0.25">
      <c r="B150" s="635" t="s">
        <v>258</v>
      </c>
      <c r="C150" s="388">
        <f>IF(ISERROR(C149+1),C148+1,C149+1)</f>
        <v>108</v>
      </c>
      <c r="D150" s="274" t="s">
        <v>579</v>
      </c>
      <c r="E150" s="642"/>
      <c r="F150" s="642"/>
      <c r="G150" s="642"/>
      <c r="H150" s="642"/>
      <c r="I150" s="642"/>
      <c r="J150" s="642"/>
      <c r="K150" s="642"/>
      <c r="L150" s="642"/>
      <c r="M150" s="642"/>
      <c r="N150" s="642"/>
      <c r="O150" s="642"/>
      <c r="P150" s="642"/>
      <c r="Q150" s="642"/>
      <c r="R150" s="642"/>
      <c r="S150" s="642"/>
      <c r="T150" s="642"/>
      <c r="U150" s="375" t="s">
        <v>102</v>
      </c>
      <c r="V150" s="375" t="s">
        <v>102</v>
      </c>
      <c r="W150" s="419" t="s">
        <v>582</v>
      </c>
      <c r="X150" s="1" t="str">
        <f t="shared" si="61"/>
        <v xml:space="preserve"> </v>
      </c>
      <c r="Y150" s="1"/>
      <c r="Z150" s="389" t="str">
        <f>IF($U150="Non","NA",$AO150)</f>
        <v/>
      </c>
      <c r="AA150" s="274" t="str">
        <f>IF(Exigences!Y150=Présentation!$L$20,'Plan d''actions'!E141,IF(Exigences!Y150=Présentation!$L$21,'Plan d''actions'!E141,"Pas de plan d'actions à suggérer!"))</f>
        <v>Pas de plan d'actions à suggérer!</v>
      </c>
      <c r="AB150" s="277"/>
      <c r="AC150" s="277"/>
      <c r="AD150" s="277"/>
      <c r="AE150" s="404"/>
      <c r="AF150" s="401"/>
      <c r="AG150" s="401"/>
      <c r="AH150" s="3" t="s">
        <v>61</v>
      </c>
      <c r="AJ150" s="42"/>
      <c r="AL150" s="507">
        <f>IF(AM150="Sous-Article","",IF(AL149="",AL148+1,AL149+1))</f>
        <v>110</v>
      </c>
      <c r="AM150" s="504">
        <f>Y150</f>
        <v>0</v>
      </c>
      <c r="AN150" s="504" t="str">
        <f>IFERROR((VLOOKUP($Y150,Présentation!$L$20:$M$24,2,FALSE)),"")</f>
        <v/>
      </c>
      <c r="AO150" s="502" t="str">
        <f>IFERROR(CHOOSE($AN150,"",Présentation!$D$20,Présentation!$D$21,Présentation!$D$22,Présentation!$D$23,Présentation!$D$24),"")</f>
        <v/>
      </c>
      <c r="AP150" s="516">
        <f>IF(AM150="Non applicable",1,0)</f>
        <v>0</v>
      </c>
      <c r="AQ150" s="512">
        <f>IF(AM150="Non applicable",0,1/COUNTIF($AP$150:$AP$152,"=0"))</f>
        <v>0.33333333333333331</v>
      </c>
      <c r="AR150" s="502" t="str">
        <f>IFERROR(AO150*AQ150,"")</f>
        <v/>
      </c>
      <c r="AS150" s="502"/>
      <c r="AT150" s="502"/>
      <c r="AU150" s="502"/>
      <c r="AV150" s="502"/>
      <c r="AW150" s="501"/>
      <c r="AX150" s="502"/>
      <c r="AY150" s="501"/>
      <c r="AZ150" s="501"/>
      <c r="BC150" s="510" t="str">
        <f t="shared" si="53"/>
        <v xml:space="preserve"> </v>
      </c>
    </row>
    <row r="151" spans="2:83" ht="135" x14ac:dyDescent="0.25">
      <c r="B151" s="637"/>
      <c r="C151" s="388">
        <f>IF(ISERROR(C150+1),C149+1,C150+1)</f>
        <v>109</v>
      </c>
      <c r="D151" s="274" t="s">
        <v>390</v>
      </c>
      <c r="E151" s="642"/>
      <c r="F151" s="642"/>
      <c r="G151" s="642"/>
      <c r="H151" s="642"/>
      <c r="I151" s="642"/>
      <c r="J151" s="642"/>
      <c r="K151" s="642"/>
      <c r="L151" s="642"/>
      <c r="M151" s="642"/>
      <c r="N151" s="642"/>
      <c r="O151" s="642"/>
      <c r="P151" s="642"/>
      <c r="Q151" s="642"/>
      <c r="R151" s="642"/>
      <c r="S151" s="642"/>
      <c r="T151" s="642"/>
      <c r="U151" s="375" t="s">
        <v>102</v>
      </c>
      <c r="V151" s="375" t="s">
        <v>102</v>
      </c>
      <c r="W151" s="419" t="s">
        <v>599</v>
      </c>
      <c r="X151" s="1"/>
      <c r="Y151" s="1"/>
      <c r="Z151" s="389" t="str">
        <f>IF($U151="Non","NA",$AO151)</f>
        <v/>
      </c>
      <c r="AA151" s="274" t="str">
        <f>IF(Exigences!Y151=Présentation!$L$20,'Plan d''actions'!E142,IF(Exigences!Y151=Présentation!$L$21,'Plan d''actions'!E142,"Pas de plan d'actions à suggérer!"))</f>
        <v>Pas de plan d'actions à suggérer!</v>
      </c>
      <c r="AB151" s="277"/>
      <c r="AC151" s="277"/>
      <c r="AD151" s="277"/>
      <c r="AE151" s="404"/>
      <c r="AF151" s="401"/>
      <c r="AG151" s="401"/>
      <c r="AH151" s="3" t="s">
        <v>61</v>
      </c>
      <c r="AJ151" s="42"/>
      <c r="AL151" s="507">
        <f t="shared" ref="AL151:AL155" si="62">IF(AM151="Sous-Article","",IF(AL150="",AL149+1,AL150+1))</f>
        <v>111</v>
      </c>
      <c r="AM151" s="504">
        <f>Y151</f>
        <v>0</v>
      </c>
      <c r="AN151" s="504" t="str">
        <f>IFERROR((VLOOKUP($Y151,Présentation!$L$20:$M$24,2,FALSE)),"")</f>
        <v/>
      </c>
      <c r="AO151" s="502" t="str">
        <f>IFERROR(CHOOSE($AN151,"",Présentation!$D$20,Présentation!$D$21,Présentation!$D$22,Présentation!$D$23,Présentation!$D$24),"")</f>
        <v/>
      </c>
      <c r="AP151" s="516">
        <f>IF(AM151="Non applicable",1,0)</f>
        <v>0</v>
      </c>
      <c r="AQ151" s="512">
        <f>IF(AM151="Non applicable",0,1/COUNTIF($AP$150:$AP$152,"=0"))</f>
        <v>0.33333333333333331</v>
      </c>
      <c r="AR151" s="502" t="str">
        <f>IFERROR(AO151*AQ151,"")</f>
        <v/>
      </c>
      <c r="AS151" s="502"/>
      <c r="AT151" s="502"/>
      <c r="AU151" s="502"/>
      <c r="AV151" s="502"/>
      <c r="AW151" s="501"/>
      <c r="AX151" s="502"/>
      <c r="AY151" s="501"/>
      <c r="AZ151" s="501"/>
      <c r="BC151" s="510" t="str">
        <f t="shared" si="53"/>
        <v xml:space="preserve"> </v>
      </c>
    </row>
    <row r="152" spans="2:83" ht="30" customHeight="1" x14ac:dyDescent="0.25">
      <c r="B152" s="644"/>
      <c r="C152" s="388">
        <f>IF(ISERROR(C151+1),C150+1,C151+1)</f>
        <v>110</v>
      </c>
      <c r="D152" s="274" t="s">
        <v>580</v>
      </c>
      <c r="E152" s="643"/>
      <c r="F152" s="643"/>
      <c r="G152" s="643"/>
      <c r="H152" s="643"/>
      <c r="I152" s="643"/>
      <c r="J152" s="643"/>
      <c r="K152" s="643"/>
      <c r="L152" s="643"/>
      <c r="M152" s="643"/>
      <c r="N152" s="643"/>
      <c r="O152" s="643"/>
      <c r="P152" s="643"/>
      <c r="Q152" s="643"/>
      <c r="R152" s="643"/>
      <c r="S152" s="643"/>
      <c r="T152" s="643"/>
      <c r="U152" s="375" t="s">
        <v>102</v>
      </c>
      <c r="V152" s="375" t="s">
        <v>102</v>
      </c>
      <c r="W152" s="422" t="s">
        <v>581</v>
      </c>
      <c r="X152" s="1" t="str">
        <f t="shared" si="61"/>
        <v xml:space="preserve"> </v>
      </c>
      <c r="Y152" s="1"/>
      <c r="Z152" s="389" t="str">
        <f>IF($U152="Non","NA",$AO152)</f>
        <v/>
      </c>
      <c r="AA152" s="274" t="str">
        <f>IF(Exigences!Y152=Présentation!$L$20,'Plan d''actions'!E143,IF(Exigences!Y152=Présentation!$L$21,'Plan d''actions'!E143,"Pas de plan d'actions à suggérer!"))</f>
        <v>Pas de plan d'actions à suggérer!</v>
      </c>
      <c r="AB152" s="277"/>
      <c r="AC152" s="277"/>
      <c r="AD152" s="277"/>
      <c r="AE152" s="404"/>
      <c r="AF152" s="401"/>
      <c r="AG152" s="401"/>
      <c r="AH152" s="3" t="s">
        <v>61</v>
      </c>
      <c r="AJ152" s="42"/>
      <c r="AL152" s="507">
        <f t="shared" si="62"/>
        <v>112</v>
      </c>
      <c r="AM152" s="504">
        <f>Y152</f>
        <v>0</v>
      </c>
      <c r="AN152" s="504" t="str">
        <f>IFERROR((VLOOKUP($Y152,Présentation!$L$20:$M$24,2,FALSE)),"")</f>
        <v/>
      </c>
      <c r="AO152" s="502" t="str">
        <f>IFERROR(CHOOSE($AN152,"",Présentation!$D$20,Présentation!$D$21,Présentation!$D$22,Présentation!$D$23,Présentation!$D$24),"")</f>
        <v/>
      </c>
      <c r="AP152" s="516">
        <f>IF(AM152="Non applicable",1,0)</f>
        <v>0</v>
      </c>
      <c r="AQ152" s="512">
        <f>IF(AM152="Non applicable",0,1/COUNTIF($AP$150:$AP$152,"=0"))</f>
        <v>0.33333333333333331</v>
      </c>
      <c r="AR152" s="502" t="str">
        <f>IFERROR(AO152*AQ152,"")</f>
        <v/>
      </c>
      <c r="AS152" s="502"/>
      <c r="AT152" s="502"/>
      <c r="AU152" s="502"/>
      <c r="AV152" s="502"/>
      <c r="AW152" s="501"/>
      <c r="AX152" s="502"/>
      <c r="AY152" s="501"/>
      <c r="AZ152" s="501"/>
      <c r="BC152" s="510" t="str">
        <f t="shared" si="53"/>
        <v xml:space="preserve"> </v>
      </c>
    </row>
    <row r="153" spans="2:83" ht="30" customHeight="1" x14ac:dyDescent="0.25">
      <c r="B153" s="224"/>
      <c r="C153" s="224" t="s">
        <v>169</v>
      </c>
      <c r="D153" s="231" t="s">
        <v>176</v>
      </c>
      <c r="E153" s="641"/>
      <c r="F153" s="641"/>
      <c r="G153" s="641"/>
      <c r="H153" s="641"/>
      <c r="I153" s="641"/>
      <c r="J153" s="641"/>
      <c r="K153" s="641"/>
      <c r="L153" s="641"/>
      <c r="M153" s="641"/>
      <c r="N153" s="641"/>
      <c r="O153" s="641"/>
      <c r="P153" s="641"/>
      <c r="Q153" s="641"/>
      <c r="R153" s="641"/>
      <c r="S153" s="641"/>
      <c r="T153" s="641"/>
      <c r="U153" s="172" t="s">
        <v>261</v>
      </c>
      <c r="V153" s="172" t="s">
        <v>104</v>
      </c>
      <c r="W153" s="172" t="s">
        <v>188</v>
      </c>
      <c r="X153" s="172" t="s">
        <v>262</v>
      </c>
      <c r="Y153" s="172" t="str">
        <f>AS153</f>
        <v>Niveau non applicable</v>
      </c>
      <c r="Z153" s="172" t="str">
        <f>IF($Y153="Niveau non applicable","NA",$AR153)</f>
        <v>NA</v>
      </c>
      <c r="AA153" s="172" t="s">
        <v>296</v>
      </c>
      <c r="AB153" s="276" t="s">
        <v>638</v>
      </c>
      <c r="AC153" s="276" t="s">
        <v>605</v>
      </c>
      <c r="AD153" s="276" t="s">
        <v>279</v>
      </c>
      <c r="AE153" s="405" t="s">
        <v>280</v>
      </c>
      <c r="AF153" s="402" t="s">
        <v>281</v>
      </c>
      <c r="AG153" s="276" t="s">
        <v>527</v>
      </c>
      <c r="AH153" s="253" t="s">
        <v>101</v>
      </c>
      <c r="AJ153" s="42"/>
      <c r="AL153" s="507" t="str">
        <f t="shared" si="62"/>
        <v/>
      </c>
      <c r="AM153" s="511" t="s">
        <v>24</v>
      </c>
      <c r="AN153" s="511"/>
      <c r="AO153" s="501" t="s">
        <v>28</v>
      </c>
      <c r="AP153" s="501"/>
      <c r="AQ153" s="512">
        <f>SUM(AQ154:AQ155)</f>
        <v>1</v>
      </c>
      <c r="AR153" s="502">
        <f>IFERROR(SUM(AR154:AR155),"")</f>
        <v>0</v>
      </c>
      <c r="AS153" s="505" t="str">
        <f>IFERROR(IF(AR153=Présentation!$F$24,Présentation!$H$24,IF(AR153&lt;=Présentation!$F$20,Présentation!$G$20,IF(AR153&lt;=Présentation!$F$21,Présentation!$G$21,IF(AR153&lt;=Présentation!$F$22,Présentation!$G$22,Présentation!$G$23)))),"")</f>
        <v>Niveau non applicable</v>
      </c>
      <c r="AT153" s="513">
        <f>IF(AS153="Niveau Non applicable",1,0)</f>
        <v>1</v>
      </c>
      <c r="AU153" s="502">
        <f>IF(AS153="Niveau Non applicable",0,1/COUNTIF($AT$142:$AT$155,"=0"))</f>
        <v>0</v>
      </c>
      <c r="AV153" s="502">
        <f>AU153*AR153</f>
        <v>0</v>
      </c>
      <c r="AW153" s="501"/>
      <c r="AX153" s="502"/>
      <c r="AY153" s="501"/>
      <c r="AZ153" s="501"/>
      <c r="BC153" s="510" t="str">
        <f t="shared" si="53"/>
        <v xml:space="preserve"> </v>
      </c>
    </row>
    <row r="154" spans="2:83" ht="117" x14ac:dyDescent="0.25">
      <c r="B154" s="635" t="s">
        <v>258</v>
      </c>
      <c r="C154" s="388">
        <f>IF(ISERROR(C153+1),C152+1,C153+1)</f>
        <v>111</v>
      </c>
      <c r="D154" s="274" t="s">
        <v>600</v>
      </c>
      <c r="E154" s="642"/>
      <c r="F154" s="642"/>
      <c r="G154" s="642"/>
      <c r="H154" s="642"/>
      <c r="I154" s="642"/>
      <c r="J154" s="642"/>
      <c r="K154" s="642"/>
      <c r="L154" s="642"/>
      <c r="M154" s="642"/>
      <c r="N154" s="642"/>
      <c r="O154" s="642"/>
      <c r="P154" s="642"/>
      <c r="Q154" s="642"/>
      <c r="R154" s="642"/>
      <c r="S154" s="642"/>
      <c r="T154" s="642"/>
      <c r="U154" s="375" t="s">
        <v>102</v>
      </c>
      <c r="V154" s="375" t="s">
        <v>102</v>
      </c>
      <c r="W154" s="419" t="s">
        <v>577</v>
      </c>
      <c r="X154" s="1"/>
      <c r="Y154" s="1"/>
      <c r="Z154" s="389" t="str">
        <f>IF($U154="Non","NA",$AO154)</f>
        <v/>
      </c>
      <c r="AA154" s="274" t="str">
        <f>IF(Exigences!Y154=Présentation!$L$20,'Plan d''actions'!E145,IF(Exigences!Y154=Présentation!$L$21,'Plan d''actions'!E145,"Pas de plan d'actions à suggérer!"))</f>
        <v>Pas de plan d'actions à suggérer!</v>
      </c>
      <c r="AB154" s="277"/>
      <c r="AC154" s="277"/>
      <c r="AD154" s="277"/>
      <c r="AE154" s="404"/>
      <c r="AF154" s="401"/>
      <c r="AG154" s="401"/>
      <c r="AH154" s="3" t="s">
        <v>61</v>
      </c>
      <c r="AJ154" s="42"/>
      <c r="AL154" s="507">
        <f t="shared" si="62"/>
        <v>113</v>
      </c>
      <c r="AM154" s="504">
        <f>Y154</f>
        <v>0</v>
      </c>
      <c r="AN154" s="504" t="str">
        <f>IFERROR((VLOOKUP($Y154,Présentation!$L$20:$M$24,2,FALSE)),"")</f>
        <v/>
      </c>
      <c r="AO154" s="502" t="str">
        <f>IFERROR(CHOOSE($AN154,"",Présentation!$D$20,Présentation!$D$21,Présentation!$D$22,Présentation!$D$23,Présentation!$D$24),"")</f>
        <v/>
      </c>
      <c r="AP154" s="516">
        <f>IF(AM154="Non applicable",1,0)</f>
        <v>0</v>
      </c>
      <c r="AQ154" s="512">
        <f>IF(AM154="Non applicable",0,1/COUNTIF($AP$154:$AP$155,"=0"))</f>
        <v>0.5</v>
      </c>
      <c r="AR154" s="502" t="str">
        <f>IFERROR(AO154*AQ154,"")</f>
        <v/>
      </c>
      <c r="AS154" s="502"/>
      <c r="AT154" s="502"/>
      <c r="AU154" s="502"/>
      <c r="AV154" s="502"/>
      <c r="AW154" s="501"/>
      <c r="AX154" s="502"/>
      <c r="AY154" s="501"/>
      <c r="AZ154" s="501"/>
      <c r="BC154" s="510" t="str">
        <f t="shared" si="53"/>
        <v xml:space="preserve"> </v>
      </c>
    </row>
    <row r="155" spans="2:83" ht="55.5" customHeight="1" x14ac:dyDescent="0.25">
      <c r="B155" s="637"/>
      <c r="C155" s="388">
        <f>IF(ISERROR(C154+1),C153+1,C154+1)</f>
        <v>112</v>
      </c>
      <c r="D155" s="274" t="s">
        <v>590</v>
      </c>
      <c r="E155" s="642"/>
      <c r="F155" s="642"/>
      <c r="G155" s="642"/>
      <c r="H155" s="642"/>
      <c r="I155" s="642"/>
      <c r="J155" s="642"/>
      <c r="K155" s="642"/>
      <c r="L155" s="642"/>
      <c r="M155" s="642"/>
      <c r="N155" s="642"/>
      <c r="O155" s="642"/>
      <c r="P155" s="642"/>
      <c r="Q155" s="642"/>
      <c r="R155" s="642"/>
      <c r="S155" s="642"/>
      <c r="T155" s="642"/>
      <c r="U155" s="375" t="s">
        <v>102</v>
      </c>
      <c r="V155" s="375" t="s">
        <v>102</v>
      </c>
      <c r="W155" s="267" t="s">
        <v>578</v>
      </c>
      <c r="X155" s="1" t="str">
        <f t="shared" si="61"/>
        <v xml:space="preserve"> </v>
      </c>
      <c r="Y155" s="1"/>
      <c r="Z155" s="389" t="str">
        <f>IF($U155="Non","NA",$AO155)</f>
        <v/>
      </c>
      <c r="AA155" s="274" t="str">
        <f>IF(Exigences!Y155=Présentation!$L$20,'Plan d''actions'!E146,IF(Exigences!Y155=Présentation!$L$21,'Plan d''actions'!E146,"Pas de plan d'actions à suggérer!"))</f>
        <v>Pas de plan d'actions à suggérer!</v>
      </c>
      <c r="AB155" s="277"/>
      <c r="AC155" s="277"/>
      <c r="AD155" s="277"/>
      <c r="AE155" s="404"/>
      <c r="AF155" s="401"/>
      <c r="AG155" s="401"/>
      <c r="AH155" s="3" t="s">
        <v>61</v>
      </c>
      <c r="AJ155" s="42"/>
      <c r="AL155" s="507">
        <f t="shared" si="62"/>
        <v>114</v>
      </c>
      <c r="AM155" s="504">
        <f>Y155</f>
        <v>0</v>
      </c>
      <c r="AN155" s="504" t="str">
        <f>IFERROR((VLOOKUP($Y155,Présentation!$L$20:$M$24,2,FALSE)),"")</f>
        <v/>
      </c>
      <c r="AO155" s="502" t="str">
        <f>IFERROR(CHOOSE($AN155,"",Présentation!$D$20,Présentation!$D$21,Présentation!$D$22,Présentation!$D$23,Présentation!$D$24),"")</f>
        <v/>
      </c>
      <c r="AP155" s="516">
        <f>IF(AM155="Non applicable",1,0)</f>
        <v>0</v>
      </c>
      <c r="AQ155" s="512">
        <f>IF(AM155="Non applicable",0,1/COUNTIF($AP$154:$AP$155,"=0"))</f>
        <v>0.5</v>
      </c>
      <c r="AR155" s="502" t="str">
        <f>IFERROR(AO155*AQ155,"")</f>
        <v/>
      </c>
      <c r="AS155" s="502"/>
      <c r="AT155" s="502"/>
      <c r="AU155" s="502"/>
      <c r="AV155" s="502"/>
      <c r="AW155" s="501"/>
      <c r="AX155" s="502"/>
      <c r="AY155" s="501"/>
      <c r="AZ155" s="501"/>
      <c r="BC155" s="510" t="str">
        <f t="shared" si="53"/>
        <v xml:space="preserve"> </v>
      </c>
    </row>
    <row r="156" spans="2:83" s="438" customFormat="1" ht="30" customHeight="1" x14ac:dyDescent="0.25">
      <c r="B156" s="223"/>
      <c r="C156" s="223">
        <v>10</v>
      </c>
      <c r="D156" s="230" t="s">
        <v>177</v>
      </c>
      <c r="E156" s="441"/>
      <c r="F156" s="442"/>
      <c r="G156" s="442"/>
      <c r="H156" s="442"/>
      <c r="I156" s="442"/>
      <c r="J156" s="442"/>
      <c r="K156" s="442"/>
      <c r="L156" s="442"/>
      <c r="M156" s="442"/>
      <c r="N156" s="442"/>
      <c r="O156" s="442"/>
      <c r="P156" s="442"/>
      <c r="Q156" s="442"/>
      <c r="R156" s="442"/>
      <c r="S156" s="442"/>
      <c r="T156" s="442"/>
      <c r="U156" s="430" t="s">
        <v>261</v>
      </c>
      <c r="V156" s="653" t="s">
        <v>100</v>
      </c>
      <c r="W156" s="654"/>
      <c r="X156" s="654"/>
      <c r="Y156" s="171" t="str">
        <f>AW156</f>
        <v>Niveau non applicable</v>
      </c>
      <c r="Z156" s="171" t="str">
        <f>IF($Y156="Niveau non applicable","NA",AV156)</f>
        <v>NA</v>
      </c>
      <c r="AA156" s="171" t="s">
        <v>296</v>
      </c>
      <c r="AB156" s="171" t="s">
        <v>638</v>
      </c>
      <c r="AC156" s="171" t="s">
        <v>605</v>
      </c>
      <c r="AD156" s="171" t="s">
        <v>279</v>
      </c>
      <c r="AE156" s="443" t="s">
        <v>280</v>
      </c>
      <c r="AF156" s="444" t="s">
        <v>281</v>
      </c>
      <c r="AG156" s="444" t="s">
        <v>527</v>
      </c>
      <c r="AH156" s="171" t="s">
        <v>101</v>
      </c>
      <c r="AJ156" s="42"/>
      <c r="AK156" s="182"/>
      <c r="AL156" s="507" t="str">
        <f>IF(AM156="Article","",IF(#REF!="",AL155+1,#REF!+1))</f>
        <v/>
      </c>
      <c r="AM156" s="504" t="s">
        <v>23</v>
      </c>
      <c r="AN156" s="504"/>
      <c r="AO156" s="501"/>
      <c r="AP156" s="501"/>
      <c r="AQ156" s="512"/>
      <c r="AR156" s="502"/>
      <c r="AS156" s="502" t="s">
        <v>28</v>
      </c>
      <c r="AT156" s="502"/>
      <c r="AU156" s="507">
        <f>SUM(AU157:AU163)</f>
        <v>0</v>
      </c>
      <c r="AV156" s="507">
        <f>SUM(AV157:AV163)</f>
        <v>0</v>
      </c>
      <c r="AW156" s="505" t="str">
        <f>IFERROR(IF(AV156=Présentation!$D$24,Présentation!$H$24,IF(AV156&lt;=Présentation!$F$20,Présentation!$G$20,IF(AV156&lt;=Présentation!$F$21,Présentation!$G$21,IF(AV156&lt;=Présentation!$F$22,Présentation!$G$22,Présentation!$G$23)))),"")</f>
        <v>Niveau non applicable</v>
      </c>
      <c r="AX156" s="502">
        <f>1/7</f>
        <v>0.14285714285714285</v>
      </c>
      <c r="AY156" s="502">
        <f>AV156*AX156</f>
        <v>0</v>
      </c>
      <c r="AZ156" s="508"/>
      <c r="BA156" s="496"/>
      <c r="BB156" s="496"/>
      <c r="BC156" s="510" t="str">
        <f t="shared" si="53"/>
        <v xml:space="preserve"> </v>
      </c>
      <c r="BD156" s="496"/>
      <c r="BE156" s="496"/>
      <c r="BF156" s="496"/>
      <c r="BG156" s="496"/>
      <c r="BH156" s="496"/>
      <c r="BI156" s="182"/>
      <c r="BJ156" s="182"/>
      <c r="BK156" s="182"/>
      <c r="BL156" s="182"/>
      <c r="BM156" s="182"/>
      <c r="BN156" s="182"/>
      <c r="BO156" s="182"/>
      <c r="BP156" s="182"/>
      <c r="BQ156" s="182"/>
      <c r="BR156" s="182"/>
      <c r="BS156" s="182"/>
      <c r="BT156" s="182"/>
      <c r="BU156" s="182"/>
      <c r="BV156" s="182"/>
      <c r="BW156" s="182"/>
      <c r="BX156" s="182"/>
      <c r="BY156" s="182"/>
      <c r="BZ156" s="182"/>
      <c r="CA156" s="182"/>
      <c r="CB156" s="182"/>
      <c r="CC156" s="182"/>
      <c r="CD156" s="182"/>
      <c r="CE156" s="182"/>
    </row>
    <row r="157" spans="2:83" ht="30" customHeight="1" x14ac:dyDescent="0.25">
      <c r="B157" s="224"/>
      <c r="C157" s="224" t="s">
        <v>170</v>
      </c>
      <c r="D157" s="231" t="s">
        <v>178</v>
      </c>
      <c r="E157" s="641"/>
      <c r="F157" s="641"/>
      <c r="G157" s="641"/>
      <c r="H157" s="641"/>
      <c r="I157" s="641"/>
      <c r="J157" s="641"/>
      <c r="K157" s="641"/>
      <c r="L157" s="641"/>
      <c r="M157" s="641"/>
      <c r="N157" s="641"/>
      <c r="O157" s="641"/>
      <c r="P157" s="641"/>
      <c r="Q157" s="641"/>
      <c r="R157" s="641"/>
      <c r="S157" s="641"/>
      <c r="T157" s="641"/>
      <c r="U157" s="172" t="s">
        <v>261</v>
      </c>
      <c r="V157" s="172" t="s">
        <v>104</v>
      </c>
      <c r="W157" s="172" t="s">
        <v>188</v>
      </c>
      <c r="X157" s="172" t="s">
        <v>262</v>
      </c>
      <c r="Y157" s="172" t="str">
        <f>AS157</f>
        <v>Niveau non applicable</v>
      </c>
      <c r="Z157" s="172" t="str">
        <f>IF($Y157="Niveau non applicable","NA",$AR157)</f>
        <v>NA</v>
      </c>
      <c r="AA157" s="172" t="s">
        <v>296</v>
      </c>
      <c r="AB157" s="276" t="s">
        <v>638</v>
      </c>
      <c r="AC157" s="276" t="s">
        <v>605</v>
      </c>
      <c r="AD157" s="276" t="s">
        <v>279</v>
      </c>
      <c r="AE157" s="405" t="s">
        <v>280</v>
      </c>
      <c r="AF157" s="402" t="s">
        <v>281</v>
      </c>
      <c r="AG157" s="276" t="s">
        <v>527</v>
      </c>
      <c r="AH157" s="253" t="s">
        <v>101</v>
      </c>
      <c r="AJ157" s="42"/>
      <c r="AL157" s="507" t="str">
        <f>IF(AM157="Sous-Article","",IF(AL156="",#REF!+1,AL156+1))</f>
        <v/>
      </c>
      <c r="AM157" s="511" t="s">
        <v>24</v>
      </c>
      <c r="AN157" s="511"/>
      <c r="AO157" s="501" t="s">
        <v>28</v>
      </c>
      <c r="AP157" s="501"/>
      <c r="AQ157" s="512">
        <f>SUM(AQ158:AQ158)</f>
        <v>1</v>
      </c>
      <c r="AR157" s="502">
        <f>IFERROR(SUM(AR158:AR158),"")</f>
        <v>0</v>
      </c>
      <c r="AS157" s="505" t="str">
        <f>IFERROR(IF(AR157=Présentation!$F$24,Présentation!$H$24,IF(AR157&lt;=Présentation!$F$20,Présentation!$G$20,IF(AR157&lt;=Présentation!$F$21,Présentation!$G$21,IF(AR157&lt;=Présentation!$F$22,Présentation!$G$22,Présentation!$G$23)))),"")</f>
        <v>Niveau non applicable</v>
      </c>
      <c r="AT157" s="513">
        <f>IF(AS157="Niveau Non applicable",1,0)</f>
        <v>1</v>
      </c>
      <c r="AU157" s="502">
        <f>IF(AS157="Niveau Non applicable",0,1/COUNTIF($AT$157:$AT$163,"=0"))</f>
        <v>0</v>
      </c>
      <c r="AV157" s="502">
        <f>AU157*AR157</f>
        <v>0</v>
      </c>
      <c r="AW157" s="508"/>
      <c r="AX157" s="514"/>
      <c r="AY157" s="508"/>
      <c r="AZ157" s="508"/>
      <c r="BC157" s="510" t="str">
        <f t="shared" si="53"/>
        <v xml:space="preserve"> </v>
      </c>
    </row>
    <row r="158" spans="2:83" ht="56.25" x14ac:dyDescent="0.25">
      <c r="B158" s="291" t="s">
        <v>258</v>
      </c>
      <c r="C158" s="388">
        <f>IF(ISERROR(C157+1),C155+1,C157+1)</f>
        <v>113</v>
      </c>
      <c r="D158" s="274" t="s">
        <v>596</v>
      </c>
      <c r="E158" s="642"/>
      <c r="F158" s="642"/>
      <c r="G158" s="642"/>
      <c r="H158" s="642"/>
      <c r="I158" s="642"/>
      <c r="J158" s="642"/>
      <c r="K158" s="642"/>
      <c r="L158" s="642"/>
      <c r="M158" s="642"/>
      <c r="N158" s="642"/>
      <c r="O158" s="642"/>
      <c r="P158" s="642"/>
      <c r="Q158" s="642"/>
      <c r="R158" s="642"/>
      <c r="S158" s="642"/>
      <c r="T158" s="642"/>
      <c r="U158" s="375" t="s">
        <v>102</v>
      </c>
      <c r="V158" s="375" t="s">
        <v>103</v>
      </c>
      <c r="W158" s="267" t="s">
        <v>598</v>
      </c>
      <c r="X158" s="1" t="str">
        <f>BC158</f>
        <v xml:space="preserve"> </v>
      </c>
      <c r="Y158" s="1"/>
      <c r="Z158" s="389" t="str">
        <f>IF($U158="Non","NA",$AO158)</f>
        <v/>
      </c>
      <c r="AA158" s="274" t="str">
        <f>IF(Exigences!Y158=Présentation!$L$20,'Plan d''actions'!E149,IF(Exigences!Y158=Présentation!$L$21,'Plan d''actions'!E149,"Pas de plan d'actions à suggérer!"))</f>
        <v>Pas de plan d'actions à suggérer!</v>
      </c>
      <c r="AB158" s="277"/>
      <c r="AC158" s="277"/>
      <c r="AD158" s="277"/>
      <c r="AE158" s="404"/>
      <c r="AF158" s="401"/>
      <c r="AG158" s="401"/>
      <c r="AH158" s="3" t="s">
        <v>61</v>
      </c>
      <c r="AJ158" s="42"/>
      <c r="AL158" s="507">
        <f>IF(AM158="Sous-Article","",IF(AL157="",AL155+1,AL157+1))</f>
        <v>115</v>
      </c>
      <c r="AM158" s="504">
        <f>Y158</f>
        <v>0</v>
      </c>
      <c r="AN158" s="504" t="str">
        <f>IFERROR((VLOOKUP($Y158,Présentation!$L$20:$M$24,2,FALSE)),"")</f>
        <v/>
      </c>
      <c r="AO158" s="502" t="str">
        <f>IFERROR(CHOOSE($AN158,"",Présentation!$D$20,Présentation!$D$21,Présentation!$D$22,Présentation!$D$23,Présentation!$D$24),"")</f>
        <v/>
      </c>
      <c r="AP158" s="516">
        <f>IF(AM158="Non applicable",1,0)</f>
        <v>0</v>
      </c>
      <c r="AQ158" s="512">
        <f>IF(AM158="Non applicable",0,1/COUNTIF($AP$158:$AP$158,"=0"))</f>
        <v>1</v>
      </c>
      <c r="AR158" s="502" t="str">
        <f>IFERROR(AO158*AQ158,"")</f>
        <v/>
      </c>
      <c r="AS158" s="502"/>
      <c r="AT158" s="502"/>
      <c r="AU158" s="502"/>
      <c r="AV158" s="502"/>
      <c r="AW158" s="501"/>
      <c r="AX158" s="502"/>
      <c r="AY158" s="501"/>
      <c r="AZ158" s="501"/>
      <c r="BC158" s="510" t="str">
        <f t="shared" si="53"/>
        <v xml:space="preserve"> </v>
      </c>
    </row>
    <row r="159" spans="2:83" ht="30" customHeight="1" x14ac:dyDescent="0.25">
      <c r="B159" s="224"/>
      <c r="C159" s="224" t="s">
        <v>171</v>
      </c>
      <c r="D159" s="231" t="s">
        <v>179</v>
      </c>
      <c r="E159" s="641"/>
      <c r="F159" s="641"/>
      <c r="G159" s="641"/>
      <c r="H159" s="641"/>
      <c r="I159" s="641"/>
      <c r="J159" s="641"/>
      <c r="K159" s="641"/>
      <c r="L159" s="641"/>
      <c r="M159" s="641"/>
      <c r="N159" s="641"/>
      <c r="O159" s="641"/>
      <c r="P159" s="641"/>
      <c r="Q159" s="641"/>
      <c r="R159" s="641"/>
      <c r="S159" s="641"/>
      <c r="T159" s="641"/>
      <c r="U159" s="172" t="s">
        <v>261</v>
      </c>
      <c r="V159" s="172" t="s">
        <v>104</v>
      </c>
      <c r="W159" s="172" t="s">
        <v>188</v>
      </c>
      <c r="X159" s="172" t="s">
        <v>262</v>
      </c>
      <c r="Y159" s="172" t="str">
        <f>AS159</f>
        <v>Niveau non applicable</v>
      </c>
      <c r="Z159" s="172" t="str">
        <f>IF($Y159="Niveau non applicable","NA",$AR159)</f>
        <v>NA</v>
      </c>
      <c r="AA159" s="172" t="s">
        <v>296</v>
      </c>
      <c r="AB159" s="276" t="s">
        <v>638</v>
      </c>
      <c r="AC159" s="276" t="s">
        <v>605</v>
      </c>
      <c r="AD159" s="276" t="s">
        <v>279</v>
      </c>
      <c r="AE159" s="405" t="s">
        <v>280</v>
      </c>
      <c r="AF159" s="402" t="s">
        <v>281</v>
      </c>
      <c r="AG159" s="276" t="s">
        <v>527</v>
      </c>
      <c r="AH159" s="253" t="s">
        <v>101</v>
      </c>
      <c r="AJ159" s="42"/>
      <c r="AL159" s="507"/>
      <c r="AM159" s="511" t="s">
        <v>24</v>
      </c>
      <c r="AN159" s="511"/>
      <c r="AO159" s="501" t="s">
        <v>28</v>
      </c>
      <c r="AP159" s="501"/>
      <c r="AQ159" s="512">
        <f>SUM(AQ160:AQ161)</f>
        <v>1</v>
      </c>
      <c r="AR159" s="502">
        <f>IFERROR(SUM(AR160:AR161),"")</f>
        <v>0</v>
      </c>
      <c r="AS159" s="505" t="str">
        <f>IFERROR(IF(AR159=Présentation!$F$24,Présentation!$H$24,IF(AR159&lt;=Présentation!$F$20,Présentation!$G$20,IF(AR159&lt;=Présentation!$F$21,Présentation!$G$21,IF(AR159&lt;=Présentation!$F$22,Présentation!$G$22,Présentation!$G$23)))),"")</f>
        <v>Niveau non applicable</v>
      </c>
      <c r="AT159" s="513">
        <f>IF(AS159="Niveau Non applicable",1,0)</f>
        <v>1</v>
      </c>
      <c r="AU159" s="502">
        <f>IF(AS159="Niveau Non applicable",0,1/COUNTIF($AT$157:$AT$163,"=0"))</f>
        <v>0</v>
      </c>
      <c r="AV159" s="502">
        <f>AU159*AR159</f>
        <v>0</v>
      </c>
      <c r="AW159" s="501"/>
      <c r="AX159" s="502"/>
      <c r="AY159" s="501"/>
      <c r="AZ159" s="501"/>
      <c r="BC159" s="510" t="str">
        <f t="shared" si="53"/>
        <v xml:space="preserve"> </v>
      </c>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row>
    <row r="160" spans="2:83" ht="105.75" customHeight="1" x14ac:dyDescent="0.25">
      <c r="B160" s="415" t="s">
        <v>258</v>
      </c>
      <c r="C160" s="388">
        <f>IF(ISERROR(C159+1),C158+1,C159+1)</f>
        <v>114</v>
      </c>
      <c r="D160" s="274" t="s">
        <v>591</v>
      </c>
      <c r="E160" s="642"/>
      <c r="F160" s="642"/>
      <c r="G160" s="642"/>
      <c r="H160" s="642"/>
      <c r="I160" s="642"/>
      <c r="J160" s="642"/>
      <c r="K160" s="642"/>
      <c r="L160" s="642"/>
      <c r="M160" s="642"/>
      <c r="N160" s="642"/>
      <c r="O160" s="642"/>
      <c r="P160" s="642"/>
      <c r="Q160" s="642"/>
      <c r="R160" s="642"/>
      <c r="S160" s="642"/>
      <c r="T160" s="642"/>
      <c r="U160" s="375" t="s">
        <v>102</v>
      </c>
      <c r="V160" s="375" t="s">
        <v>102</v>
      </c>
      <c r="W160" s="422" t="s">
        <v>601</v>
      </c>
      <c r="X160" s="1"/>
      <c r="Y160" s="1"/>
      <c r="Z160" s="389" t="str">
        <f>IF($U160="Non","NA",$AO160)</f>
        <v/>
      </c>
      <c r="AA160" s="274" t="str">
        <f>IF(Exigences!Y160=Présentation!$L$20,'Plan d''actions'!E151,IF(Exigences!Y160=Présentation!$L$21,'Plan d''actions'!E151,"Pas de plan d'actions à suggérer!"))</f>
        <v>Pas de plan d'actions à suggérer!</v>
      </c>
      <c r="AB160" s="277"/>
      <c r="AC160" s="277"/>
      <c r="AD160" s="277"/>
      <c r="AE160" s="404"/>
      <c r="AF160" s="401"/>
      <c r="AG160" s="401"/>
      <c r="AH160" s="3" t="s">
        <v>61</v>
      </c>
      <c r="AJ160" s="42"/>
      <c r="AL160" s="507">
        <f t="shared" ref="AL160:AL162" si="63">IF(AM160="Sous-Article","",IF(AL159="",AL158+1,AL159+1))</f>
        <v>116</v>
      </c>
      <c r="AM160" s="504">
        <f>Y160</f>
        <v>0</v>
      </c>
      <c r="AN160" s="504" t="str">
        <f>IFERROR((VLOOKUP($Y160,Présentation!$L$20:$M$24,2,FALSE)),"")</f>
        <v/>
      </c>
      <c r="AO160" s="502" t="str">
        <f>IFERROR(CHOOSE($AN160,"",Présentation!$D$20,Présentation!$D$21,Présentation!$D$22,Présentation!$D$23,Présentation!$D$24),"")</f>
        <v/>
      </c>
      <c r="AP160" s="516">
        <f>IF(AM160="Non applicable",1,0)</f>
        <v>0</v>
      </c>
      <c r="AQ160" s="512">
        <f>IF(AM160="Non applicable",0,1/COUNTIF($AP$160:$AP$161,"=0"))</f>
        <v>0.5</v>
      </c>
      <c r="AR160" s="502" t="str">
        <f>IFERROR(AO160*AQ160,"")</f>
        <v/>
      </c>
      <c r="AS160" s="502"/>
      <c r="AT160" s="502"/>
      <c r="AU160" s="502"/>
      <c r="AV160" s="502"/>
      <c r="AW160" s="501"/>
      <c r="AX160" s="502"/>
      <c r="AY160" s="501"/>
      <c r="AZ160" s="501"/>
      <c r="BC160" s="510" t="str">
        <f t="shared" si="53"/>
        <v xml:space="preserve"> </v>
      </c>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row>
    <row r="161" spans="2:83" ht="30" customHeight="1" x14ac:dyDescent="0.25">
      <c r="B161" s="416"/>
      <c r="C161" s="388">
        <f>IF(ISERROR(C160+1),C159+1,C160+1)</f>
        <v>115</v>
      </c>
      <c r="D161" s="274" t="s">
        <v>575</v>
      </c>
      <c r="E161" s="642"/>
      <c r="F161" s="642"/>
      <c r="G161" s="642"/>
      <c r="H161" s="642"/>
      <c r="I161" s="642"/>
      <c r="J161" s="642"/>
      <c r="K161" s="642"/>
      <c r="L161" s="642"/>
      <c r="M161" s="642"/>
      <c r="N161" s="642"/>
      <c r="O161" s="642"/>
      <c r="P161" s="642"/>
      <c r="Q161" s="642"/>
      <c r="R161" s="642"/>
      <c r="S161" s="642"/>
      <c r="T161" s="642"/>
      <c r="U161" s="375" t="s">
        <v>102</v>
      </c>
      <c r="V161" s="375" t="s">
        <v>102</v>
      </c>
      <c r="W161" s="422" t="s">
        <v>576</v>
      </c>
      <c r="X161" s="1"/>
      <c r="Y161" s="1"/>
      <c r="Z161" s="389" t="str">
        <f>IF($U161="Non","NA",$AO161)</f>
        <v/>
      </c>
      <c r="AA161" s="274" t="str">
        <f>IF(Exigences!Y161=Présentation!$L$20,'Plan d''actions'!E152,IF(Exigences!Y161=Présentation!$L$21,'Plan d''actions'!E152,"Pas de plan d'actions à suggérer!"))</f>
        <v>Pas de plan d'actions à suggérer!</v>
      </c>
      <c r="AB161" s="277"/>
      <c r="AC161" s="277"/>
      <c r="AD161" s="277"/>
      <c r="AE161" s="404"/>
      <c r="AF161" s="401"/>
      <c r="AG161" s="401"/>
      <c r="AH161" s="3" t="s">
        <v>61</v>
      </c>
      <c r="AJ161" s="42"/>
      <c r="AL161" s="507">
        <f t="shared" si="63"/>
        <v>117</v>
      </c>
      <c r="AM161" s="504">
        <f>Y161</f>
        <v>0</v>
      </c>
      <c r="AN161" s="504" t="str">
        <f>IFERROR((VLOOKUP($Y161,Présentation!$L$20:$M$24,2,FALSE)),"")</f>
        <v/>
      </c>
      <c r="AO161" s="502" t="str">
        <f>IFERROR(CHOOSE($AN161,"",Présentation!$D$20,Présentation!$D$21,Présentation!$D$22,Présentation!$D$23,Présentation!$D$24),"")</f>
        <v/>
      </c>
      <c r="AP161" s="516">
        <f>IF(AM161="Non applicable",1,0)</f>
        <v>0</v>
      </c>
      <c r="AQ161" s="512">
        <f>IF(AM161="Non applicable",0,1/COUNTIF($AP$160:$AP$161,"=0"))</f>
        <v>0.5</v>
      </c>
      <c r="AR161" s="502" t="str">
        <f>IFERROR(AO161*AQ161,"")</f>
        <v/>
      </c>
      <c r="AS161" s="502"/>
      <c r="AT161" s="502"/>
      <c r="AU161" s="502"/>
      <c r="AV161" s="502"/>
      <c r="AW161" s="501"/>
      <c r="AX161" s="502"/>
      <c r="AY161" s="501"/>
      <c r="AZ161" s="501"/>
      <c r="BC161" s="510" t="str">
        <f t="shared" si="53"/>
        <v xml:space="preserve"> </v>
      </c>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row>
    <row r="162" spans="2:83" ht="30" customHeight="1" x14ac:dyDescent="0.25">
      <c r="B162" s="224"/>
      <c r="C162" s="224" t="s">
        <v>172</v>
      </c>
      <c r="D162" s="231" t="s">
        <v>180</v>
      </c>
      <c r="E162" s="641"/>
      <c r="F162" s="641"/>
      <c r="G162" s="641"/>
      <c r="H162" s="641"/>
      <c r="I162" s="641"/>
      <c r="J162" s="641"/>
      <c r="K162" s="641"/>
      <c r="L162" s="641"/>
      <c r="M162" s="641"/>
      <c r="N162" s="641"/>
      <c r="O162" s="641"/>
      <c r="P162" s="641"/>
      <c r="Q162" s="641"/>
      <c r="R162" s="641"/>
      <c r="S162" s="641"/>
      <c r="T162" s="641"/>
      <c r="U162" s="172" t="s">
        <v>261</v>
      </c>
      <c r="V162" s="172" t="s">
        <v>104</v>
      </c>
      <c r="W162" s="172" t="s">
        <v>188</v>
      </c>
      <c r="X162" s="172" t="s">
        <v>262</v>
      </c>
      <c r="Y162" s="172" t="str">
        <f>AS162</f>
        <v>Niveau non applicable</v>
      </c>
      <c r="Z162" s="172" t="str">
        <f>IF($Y162="Niveau non applicable","NA",$AR162)</f>
        <v>NA</v>
      </c>
      <c r="AA162" s="172" t="s">
        <v>296</v>
      </c>
      <c r="AB162" s="276" t="s">
        <v>638</v>
      </c>
      <c r="AC162" s="276" t="s">
        <v>605</v>
      </c>
      <c r="AD162" s="276" t="s">
        <v>279</v>
      </c>
      <c r="AE162" s="405" t="s">
        <v>280</v>
      </c>
      <c r="AF162" s="402" t="s">
        <v>281</v>
      </c>
      <c r="AG162" s="276" t="s">
        <v>527</v>
      </c>
      <c r="AH162" s="253" t="s">
        <v>101</v>
      </c>
      <c r="AJ162" s="42"/>
      <c r="AL162" s="507" t="str">
        <f t="shared" si="63"/>
        <v/>
      </c>
      <c r="AM162" s="511" t="s">
        <v>24</v>
      </c>
      <c r="AN162" s="511"/>
      <c r="AO162" s="501" t="s">
        <v>28</v>
      </c>
      <c r="AP162" s="501"/>
      <c r="AQ162" s="512">
        <f>SUM(AQ163:AQ163)</f>
        <v>1</v>
      </c>
      <c r="AR162" s="502">
        <f>IFERROR(SUM(AR163:AR163),"")</f>
        <v>0</v>
      </c>
      <c r="AS162" s="505" t="str">
        <f>IFERROR(IF(AR162=Présentation!$F$24,Présentation!$H$24,IF(AR162&lt;=Présentation!$F$20,Présentation!$G$20,IF(AR162&lt;=Présentation!$F$21,Présentation!$G$21,IF(AR162&lt;=Présentation!$F$22,Présentation!$G$22,Présentation!$G$23)))),"")</f>
        <v>Niveau non applicable</v>
      </c>
      <c r="AT162" s="513">
        <f>IF(AS162="Niveau Non applicable",1,0)</f>
        <v>1</v>
      </c>
      <c r="AU162" s="502">
        <f>IF(AS162="Niveau Non applicable",0,1/COUNTIF($AT$157:$AT$163,"=0"))</f>
        <v>0</v>
      </c>
      <c r="AV162" s="502">
        <f>AU162*AR162</f>
        <v>0</v>
      </c>
      <c r="AW162" s="501"/>
      <c r="AX162" s="502"/>
      <c r="AY162" s="501"/>
      <c r="AZ162" s="501"/>
      <c r="BC162" s="510" t="str">
        <f t="shared" si="53"/>
        <v xml:space="preserve"> </v>
      </c>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row>
    <row r="163" spans="2:83" ht="56.25" x14ac:dyDescent="0.25">
      <c r="B163" s="425" t="s">
        <v>258</v>
      </c>
      <c r="C163" s="388">
        <f>IF(ISERROR(C162+1),C161+1,C162+1)</f>
        <v>116</v>
      </c>
      <c r="D163" s="274" t="s">
        <v>597</v>
      </c>
      <c r="E163" s="642"/>
      <c r="F163" s="642"/>
      <c r="G163" s="642"/>
      <c r="H163" s="642"/>
      <c r="I163" s="642"/>
      <c r="J163" s="642"/>
      <c r="K163" s="642"/>
      <c r="L163" s="642"/>
      <c r="M163" s="642"/>
      <c r="N163" s="642"/>
      <c r="O163" s="642"/>
      <c r="P163" s="642"/>
      <c r="Q163" s="642"/>
      <c r="R163" s="642"/>
      <c r="S163" s="642"/>
      <c r="T163" s="642"/>
      <c r="U163" s="375" t="s">
        <v>102</v>
      </c>
      <c r="V163" s="375" t="s">
        <v>103</v>
      </c>
      <c r="W163" s="267" t="s">
        <v>602</v>
      </c>
      <c r="X163" s="1" t="str">
        <f t="shared" ref="X163" si="64">BC163</f>
        <v xml:space="preserve"> </v>
      </c>
      <c r="Y163" s="1"/>
      <c r="Z163" s="389" t="str">
        <f>IF($U163="Non","NA",$AO163)</f>
        <v/>
      </c>
      <c r="AA163" s="274" t="str">
        <f>IF(Exigences!Y163=Présentation!$L$20,'Plan d''actions'!E154,IF(Exigences!Y163=Présentation!$L$21,'Plan d''actions'!E154,"Pas de plan d'actions à suggérer!"))</f>
        <v>Pas de plan d'actions à suggérer!</v>
      </c>
      <c r="AB163" s="277"/>
      <c r="AC163" s="277"/>
      <c r="AD163" s="277"/>
      <c r="AE163" s="404"/>
      <c r="AF163" s="401"/>
      <c r="AG163" s="401"/>
      <c r="AH163" s="3" t="s">
        <v>61</v>
      </c>
      <c r="AJ163" s="42"/>
      <c r="AL163" s="507">
        <f>IF(AM163="Sous-Article","",IF(AL162="",AL161+1,AL162+1))</f>
        <v>118</v>
      </c>
      <c r="AM163" s="504">
        <f>Y163</f>
        <v>0</v>
      </c>
      <c r="AN163" s="504" t="str">
        <f>IFERROR((VLOOKUP($Y163,Présentation!$L$20:$M$24,2,FALSE)),"")</f>
        <v/>
      </c>
      <c r="AO163" s="502" t="str">
        <f>IFERROR(CHOOSE($AN163,"",Présentation!$D$20,Présentation!$D$21,Présentation!$D$22,Présentation!$D$23,Présentation!$D$24),"")</f>
        <v/>
      </c>
      <c r="AP163" s="516">
        <f>IF(AM163="Non applicable",1,0)</f>
        <v>0</v>
      </c>
      <c r="AQ163" s="512">
        <f>IF(AM163="Non applicable",0,1/COUNTIF($AP$163:$AP$163,"=0"))</f>
        <v>1</v>
      </c>
      <c r="AR163" s="502" t="str">
        <f>IFERROR(AO163*AQ163,"")</f>
        <v/>
      </c>
      <c r="AS163" s="502"/>
      <c r="AT163" s="502"/>
      <c r="AU163" s="502"/>
      <c r="AV163" s="502"/>
      <c r="AW163" s="501"/>
      <c r="AX163" s="502"/>
      <c r="AY163" s="501"/>
      <c r="AZ163" s="501"/>
      <c r="BC163" s="510" t="str">
        <f t="shared" ref="BC163:BC164" si="65">IF(U163="non","NA"," ")</f>
        <v xml:space="preserve"> </v>
      </c>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row>
    <row r="164" spans="2:83" x14ac:dyDescent="0.25">
      <c r="W164" s="292"/>
      <c r="BC164" s="510" t="str">
        <f t="shared" si="65"/>
        <v xml:space="preserve"> </v>
      </c>
    </row>
    <row r="165" spans="2:83" x14ac:dyDescent="0.25">
      <c r="W165" s="292"/>
    </row>
    <row r="166" spans="2:83" x14ac:dyDescent="0.25">
      <c r="W166" s="292"/>
    </row>
    <row r="167" spans="2:83" x14ac:dyDescent="0.25">
      <c r="W167" s="292"/>
    </row>
    <row r="168" spans="2:83" x14ac:dyDescent="0.25">
      <c r="W168" s="292"/>
    </row>
    <row r="169" spans="2:83" x14ac:dyDescent="0.25">
      <c r="W169" s="292"/>
    </row>
    <row r="170" spans="2:83" x14ac:dyDescent="0.25">
      <c r="W170" s="292"/>
    </row>
    <row r="171" spans="2:83" x14ac:dyDescent="0.25">
      <c r="W171" s="292"/>
    </row>
    <row r="172" spans="2:83" x14ac:dyDescent="0.25">
      <c r="W172" s="292"/>
    </row>
  </sheetData>
  <sheetProtection sheet="1" objects="1" scenarios="1"/>
  <dataConsolidate/>
  <mergeCells count="502">
    <mergeCell ref="B20:B21"/>
    <mergeCell ref="B16:B18"/>
    <mergeCell ref="B23:B26"/>
    <mergeCell ref="B58:B59"/>
    <mergeCell ref="B89:B93"/>
    <mergeCell ref="W66:W67"/>
    <mergeCell ref="B107:B109"/>
    <mergeCell ref="R71:R73"/>
    <mergeCell ref="S71:S73"/>
    <mergeCell ref="T71:T73"/>
    <mergeCell ref="B30:B35"/>
    <mergeCell ref="B38:B41"/>
    <mergeCell ref="B43:B45"/>
    <mergeCell ref="E52:E56"/>
    <mergeCell ref="E48:E51"/>
    <mergeCell ref="E19:E21"/>
    <mergeCell ref="E22:E27"/>
    <mergeCell ref="E37:E41"/>
    <mergeCell ref="E57:E59"/>
    <mergeCell ref="E42:E46"/>
    <mergeCell ref="E15:E18"/>
    <mergeCell ref="S15:S18"/>
    <mergeCell ref="W16:W18"/>
    <mergeCell ref="B112:B118"/>
    <mergeCell ref="B120:B121"/>
    <mergeCell ref="B123:B124"/>
    <mergeCell ref="L71:L73"/>
    <mergeCell ref="M71:M73"/>
    <mergeCell ref="N71:N73"/>
    <mergeCell ref="O71:O73"/>
    <mergeCell ref="P71:P73"/>
    <mergeCell ref="Q71:Q73"/>
    <mergeCell ref="L74:L76"/>
    <mergeCell ref="M74:M76"/>
    <mergeCell ref="P74:P76"/>
    <mergeCell ref="Q74:Q76"/>
    <mergeCell ref="L80:L85"/>
    <mergeCell ref="M80:M85"/>
    <mergeCell ref="M87:M93"/>
    <mergeCell ref="N87:N93"/>
    <mergeCell ref="O87:O93"/>
    <mergeCell ref="P87:P93"/>
    <mergeCell ref="Q87:Q93"/>
    <mergeCell ref="F94:F99"/>
    <mergeCell ref="G94:G99"/>
    <mergeCell ref="H94:H99"/>
    <mergeCell ref="I94:I99"/>
    <mergeCell ref="B125:B126"/>
    <mergeCell ref="B134:B135"/>
    <mergeCell ref="B127:B130"/>
    <mergeCell ref="F71:F73"/>
    <mergeCell ref="G71:G73"/>
    <mergeCell ref="H71:H73"/>
    <mergeCell ref="I71:I73"/>
    <mergeCell ref="J71:J73"/>
    <mergeCell ref="K71:K73"/>
    <mergeCell ref="E80:E85"/>
    <mergeCell ref="F80:F85"/>
    <mergeCell ref="G80:G85"/>
    <mergeCell ref="H80:H85"/>
    <mergeCell ref="I80:I85"/>
    <mergeCell ref="J80:J85"/>
    <mergeCell ref="K80:K85"/>
    <mergeCell ref="E87:E93"/>
    <mergeCell ref="F87:F93"/>
    <mergeCell ref="G87:G93"/>
    <mergeCell ref="H87:H93"/>
    <mergeCell ref="I87:I93"/>
    <mergeCell ref="J87:J93"/>
    <mergeCell ref="K87:K93"/>
    <mergeCell ref="E94:E99"/>
    <mergeCell ref="B137:B139"/>
    <mergeCell ref="B72:B73"/>
    <mergeCell ref="W102:W103"/>
    <mergeCell ref="B101:B102"/>
    <mergeCell ref="B104:B105"/>
    <mergeCell ref="B95:B96"/>
    <mergeCell ref="W98:W99"/>
    <mergeCell ref="W82:W83"/>
    <mergeCell ref="B49:B51"/>
    <mergeCell ref="B53:B56"/>
    <mergeCell ref="W53:W55"/>
    <mergeCell ref="W58:W59"/>
    <mergeCell ref="F52:F56"/>
    <mergeCell ref="G52:G56"/>
    <mergeCell ref="H52:H56"/>
    <mergeCell ref="S52:S56"/>
    <mergeCell ref="T52:T56"/>
    <mergeCell ref="R52:R56"/>
    <mergeCell ref="I52:I56"/>
    <mergeCell ref="S48:S51"/>
    <mergeCell ref="T48:T51"/>
    <mergeCell ref="F48:F51"/>
    <mergeCell ref="G48:G51"/>
    <mergeCell ref="H48:H51"/>
    <mergeCell ref="AJ13:AJ14"/>
    <mergeCell ref="R12:R14"/>
    <mergeCell ref="S12:S14"/>
    <mergeCell ref="T12:T14"/>
    <mergeCell ref="H12:H14"/>
    <mergeCell ref="I12:I14"/>
    <mergeCell ref="E12:E14"/>
    <mergeCell ref="P12:P14"/>
    <mergeCell ref="Q12:Q14"/>
    <mergeCell ref="F12:F14"/>
    <mergeCell ref="G12:G14"/>
    <mergeCell ref="J12:J14"/>
    <mergeCell ref="K12:K14"/>
    <mergeCell ref="L12:L14"/>
    <mergeCell ref="M12:M14"/>
    <mergeCell ref="N12:N14"/>
    <mergeCell ref="O12:O14"/>
    <mergeCell ref="W13:W14"/>
    <mergeCell ref="T15:T18"/>
    <mergeCell ref="T19:T21"/>
    <mergeCell ref="T47:V47"/>
    <mergeCell ref="T57:T59"/>
    <mergeCell ref="C2:AH2"/>
    <mergeCell ref="C4:D4"/>
    <mergeCell ref="C5:D6"/>
    <mergeCell ref="C7:D8"/>
    <mergeCell ref="V11:X11"/>
    <mergeCell ref="V10:X10"/>
    <mergeCell ref="U3:AA3"/>
    <mergeCell ref="U4:AA4"/>
    <mergeCell ref="U5:AA5"/>
    <mergeCell ref="U7:AA8"/>
    <mergeCell ref="Y10:Z10"/>
    <mergeCell ref="E10:T10"/>
    <mergeCell ref="B10:D10"/>
    <mergeCell ref="X6:AA6"/>
    <mergeCell ref="AH3:AH8"/>
    <mergeCell ref="AD3:AF8"/>
    <mergeCell ref="AA10:AG10"/>
    <mergeCell ref="B9:W9"/>
    <mergeCell ref="X9:AD9"/>
    <mergeCell ref="B13:B14"/>
    <mergeCell ref="P52:P56"/>
    <mergeCell ref="Q52:Q56"/>
    <mergeCell ref="P22:P27"/>
    <mergeCell ref="W20:W21"/>
    <mergeCell ref="V86:X86"/>
    <mergeCell ref="V28:X28"/>
    <mergeCell ref="W30:W34"/>
    <mergeCell ref="W38:W41"/>
    <mergeCell ref="W43:W45"/>
    <mergeCell ref="W50:W51"/>
    <mergeCell ref="T60:V60"/>
    <mergeCell ref="V156:X156"/>
    <mergeCell ref="V141:X141"/>
    <mergeCell ref="W23:W24"/>
    <mergeCell ref="W25:W26"/>
    <mergeCell ref="W112:W117"/>
    <mergeCell ref="W118:W119"/>
    <mergeCell ref="W120:W121"/>
    <mergeCell ref="W123:W124"/>
    <mergeCell ref="W125:W126"/>
    <mergeCell ref="W130:W131"/>
    <mergeCell ref="W134:W135"/>
    <mergeCell ref="W143:W147"/>
    <mergeCell ref="L15:L18"/>
    <mergeCell ref="M15:M18"/>
    <mergeCell ref="N15:N18"/>
    <mergeCell ref="O15:O18"/>
    <mergeCell ref="J52:J56"/>
    <mergeCell ref="K52:K56"/>
    <mergeCell ref="L52:L56"/>
    <mergeCell ref="O22:O27"/>
    <mergeCell ref="G19:G21"/>
    <mergeCell ref="H19:H21"/>
    <mergeCell ref="I19:I21"/>
    <mergeCell ref="J19:J21"/>
    <mergeCell ref="K19:K21"/>
    <mergeCell ref="L19:L21"/>
    <mergeCell ref="M19:M21"/>
    <mergeCell ref="N19:N21"/>
    <mergeCell ref="S22:S27"/>
    <mergeCell ref="F19:F21"/>
    <mergeCell ref="Q22:Q27"/>
    <mergeCell ref="P42:P46"/>
    <mergeCell ref="Q42:Q46"/>
    <mergeCell ref="M52:M56"/>
    <mergeCell ref="J48:J51"/>
    <mergeCell ref="P15:P18"/>
    <mergeCell ref="Q15:Q18"/>
    <mergeCell ref="R15:R18"/>
    <mergeCell ref="Q19:Q21"/>
    <mergeCell ref="R19:R21"/>
    <mergeCell ref="N48:N51"/>
    <mergeCell ref="O48:O51"/>
    <mergeCell ref="P48:P51"/>
    <mergeCell ref="Q48:Q51"/>
    <mergeCell ref="R48:R51"/>
    <mergeCell ref="M48:M51"/>
    <mergeCell ref="K48:K51"/>
    <mergeCell ref="J15:J18"/>
    <mergeCell ref="N52:N56"/>
    <mergeCell ref="O52:O56"/>
    <mergeCell ref="I48:I51"/>
    <mergeCell ref="K15:K18"/>
    <mergeCell ref="G22:G27"/>
    <mergeCell ref="H22:H27"/>
    <mergeCell ref="I22:I27"/>
    <mergeCell ref="J22:J27"/>
    <mergeCell ref="K22:K27"/>
    <mergeCell ref="L22:L27"/>
    <mergeCell ref="M22:M27"/>
    <mergeCell ref="N22:N27"/>
    <mergeCell ref="R22:R27"/>
    <mergeCell ref="F15:F18"/>
    <mergeCell ref="G15:G18"/>
    <mergeCell ref="H15:H18"/>
    <mergeCell ref="I15:I18"/>
    <mergeCell ref="T22:T27"/>
    <mergeCell ref="T37:T41"/>
    <mergeCell ref="K37:K41"/>
    <mergeCell ref="L37:L41"/>
    <mergeCell ref="M37:M41"/>
    <mergeCell ref="N37:N41"/>
    <mergeCell ref="O37:O41"/>
    <mergeCell ref="P37:P41"/>
    <mergeCell ref="Q37:Q41"/>
    <mergeCell ref="R37:R41"/>
    <mergeCell ref="S37:S41"/>
    <mergeCell ref="F37:F41"/>
    <mergeCell ref="G37:G41"/>
    <mergeCell ref="H37:H41"/>
    <mergeCell ref="I37:I41"/>
    <mergeCell ref="J37:J41"/>
    <mergeCell ref="S19:S21"/>
    <mergeCell ref="O19:O21"/>
    <mergeCell ref="P19:P21"/>
    <mergeCell ref="F22:F27"/>
    <mergeCell ref="F42:F46"/>
    <mergeCell ref="G42:G46"/>
    <mergeCell ref="H42:H46"/>
    <mergeCell ref="I42:I46"/>
    <mergeCell ref="J42:J46"/>
    <mergeCell ref="R42:R46"/>
    <mergeCell ref="S42:S46"/>
    <mergeCell ref="T42:T46"/>
    <mergeCell ref="K42:K46"/>
    <mergeCell ref="L42:L46"/>
    <mergeCell ref="M42:M46"/>
    <mergeCell ref="N42:N46"/>
    <mergeCell ref="O42:O46"/>
    <mergeCell ref="E61:E65"/>
    <mergeCell ref="F61:F65"/>
    <mergeCell ref="G61:G65"/>
    <mergeCell ref="H61:H65"/>
    <mergeCell ref="I61:I65"/>
    <mergeCell ref="J61:J65"/>
    <mergeCell ref="K61:K65"/>
    <mergeCell ref="L61:L65"/>
    <mergeCell ref="M61:M65"/>
    <mergeCell ref="N61:N65"/>
    <mergeCell ref="O61:O65"/>
    <mergeCell ref="P61:P65"/>
    <mergeCell ref="Q61:Q65"/>
    <mergeCell ref="R61:R65"/>
    <mergeCell ref="S61:S65"/>
    <mergeCell ref="T61:T65"/>
    <mergeCell ref="N57:N59"/>
    <mergeCell ref="O57:O59"/>
    <mergeCell ref="P57:P59"/>
    <mergeCell ref="Q57:Q59"/>
    <mergeCell ref="R57:R59"/>
    <mergeCell ref="S57:S59"/>
    <mergeCell ref="F57:F59"/>
    <mergeCell ref="M57:M59"/>
    <mergeCell ref="G57:G59"/>
    <mergeCell ref="H57:H59"/>
    <mergeCell ref="I57:I59"/>
    <mergeCell ref="J57:J59"/>
    <mergeCell ref="K57:K59"/>
    <mergeCell ref="L57:L59"/>
    <mergeCell ref="L48:L51"/>
    <mergeCell ref="N74:N76"/>
    <mergeCell ref="O74:O76"/>
    <mergeCell ref="R74:R76"/>
    <mergeCell ref="S74:S76"/>
    <mergeCell ref="T74:T76"/>
    <mergeCell ref="E71:E73"/>
    <mergeCell ref="E77:E79"/>
    <mergeCell ref="F77:F79"/>
    <mergeCell ref="G77:G79"/>
    <mergeCell ref="H77:H79"/>
    <mergeCell ref="I77:I79"/>
    <mergeCell ref="J77:J79"/>
    <mergeCell ref="K77:K79"/>
    <mergeCell ref="L77:L79"/>
    <mergeCell ref="M77:M79"/>
    <mergeCell ref="E74:E76"/>
    <mergeCell ref="F74:F76"/>
    <mergeCell ref="G74:G76"/>
    <mergeCell ref="H74:H76"/>
    <mergeCell ref="I74:I76"/>
    <mergeCell ref="J74:J76"/>
    <mergeCell ref="K74:K76"/>
    <mergeCell ref="R87:R93"/>
    <mergeCell ref="S80:S85"/>
    <mergeCell ref="L87:L93"/>
    <mergeCell ref="T80:T85"/>
    <mergeCell ref="S77:S79"/>
    <mergeCell ref="T77:T79"/>
    <mergeCell ref="N80:N85"/>
    <mergeCell ref="O80:O85"/>
    <mergeCell ref="P80:P85"/>
    <mergeCell ref="Q80:Q85"/>
    <mergeCell ref="R80:R85"/>
    <mergeCell ref="S87:S93"/>
    <mergeCell ref="T87:T93"/>
    <mergeCell ref="N77:N79"/>
    <mergeCell ref="O77:O79"/>
    <mergeCell ref="P77:P79"/>
    <mergeCell ref="Q77:Q79"/>
    <mergeCell ref="R77:R79"/>
    <mergeCell ref="J94:J99"/>
    <mergeCell ref="K94:K99"/>
    <mergeCell ref="L94:L99"/>
    <mergeCell ref="S94:S99"/>
    <mergeCell ref="T94:T99"/>
    <mergeCell ref="M94:M99"/>
    <mergeCell ref="E100:E110"/>
    <mergeCell ref="F100:F110"/>
    <mergeCell ref="G100:G110"/>
    <mergeCell ref="H100:H110"/>
    <mergeCell ref="I100:I110"/>
    <mergeCell ref="J100:J110"/>
    <mergeCell ref="K100:K110"/>
    <mergeCell ref="L100:L110"/>
    <mergeCell ref="M100:M110"/>
    <mergeCell ref="N100:N110"/>
    <mergeCell ref="O100:O110"/>
    <mergeCell ref="P100:P110"/>
    <mergeCell ref="Q100:Q110"/>
    <mergeCell ref="R100:R110"/>
    <mergeCell ref="S100:S110"/>
    <mergeCell ref="T100:T110"/>
    <mergeCell ref="N94:N99"/>
    <mergeCell ref="O94:O99"/>
    <mergeCell ref="P94:P99"/>
    <mergeCell ref="Q94:Q99"/>
    <mergeCell ref="R94:R99"/>
    <mergeCell ref="O111:O121"/>
    <mergeCell ref="P111:P121"/>
    <mergeCell ref="Q111:Q121"/>
    <mergeCell ref="R111:R121"/>
    <mergeCell ref="S111:S121"/>
    <mergeCell ref="T111:T121"/>
    <mergeCell ref="O122:O132"/>
    <mergeCell ref="P122:P132"/>
    <mergeCell ref="Q122:Q132"/>
    <mergeCell ref="R122:R132"/>
    <mergeCell ref="S122:S132"/>
    <mergeCell ref="T122:T132"/>
    <mergeCell ref="E111:E121"/>
    <mergeCell ref="F111:F121"/>
    <mergeCell ref="E122:E132"/>
    <mergeCell ref="F122:F132"/>
    <mergeCell ref="G122:G132"/>
    <mergeCell ref="H122:H132"/>
    <mergeCell ref="I122:I132"/>
    <mergeCell ref="J122:J132"/>
    <mergeCell ref="K122:K132"/>
    <mergeCell ref="L122:L132"/>
    <mergeCell ref="M122:M132"/>
    <mergeCell ref="N111:N121"/>
    <mergeCell ref="G111:G121"/>
    <mergeCell ref="H111:H121"/>
    <mergeCell ref="I111:I121"/>
    <mergeCell ref="J111:J121"/>
    <mergeCell ref="K111:K121"/>
    <mergeCell ref="L111:L121"/>
    <mergeCell ref="M111:M121"/>
    <mergeCell ref="N133:N135"/>
    <mergeCell ref="N122:N132"/>
    <mergeCell ref="E133:E135"/>
    <mergeCell ref="F133:F135"/>
    <mergeCell ref="G133:G135"/>
    <mergeCell ref="H133:H135"/>
    <mergeCell ref="I133:I135"/>
    <mergeCell ref="J133:J135"/>
    <mergeCell ref="K133:K135"/>
    <mergeCell ref="L133:L135"/>
    <mergeCell ref="M133:M135"/>
    <mergeCell ref="L136:L140"/>
    <mergeCell ref="M136:M140"/>
    <mergeCell ref="N136:N140"/>
    <mergeCell ref="O136:O140"/>
    <mergeCell ref="P136:P140"/>
    <mergeCell ref="Q136:Q140"/>
    <mergeCell ref="R136:R140"/>
    <mergeCell ref="S136:S140"/>
    <mergeCell ref="T136:T140"/>
    <mergeCell ref="L153:L155"/>
    <mergeCell ref="M153:M155"/>
    <mergeCell ref="N153:N155"/>
    <mergeCell ref="G149:G152"/>
    <mergeCell ref="H149:H152"/>
    <mergeCell ref="I149:I152"/>
    <mergeCell ref="J149:J152"/>
    <mergeCell ref="K149:K152"/>
    <mergeCell ref="L149:L152"/>
    <mergeCell ref="M149:M152"/>
    <mergeCell ref="N149:N152"/>
    <mergeCell ref="T153:T155"/>
    <mergeCell ref="E157:E158"/>
    <mergeCell ref="F157:F158"/>
    <mergeCell ref="G157:G158"/>
    <mergeCell ref="H157:H158"/>
    <mergeCell ref="I157:I158"/>
    <mergeCell ref="J157:J158"/>
    <mergeCell ref="K157:K158"/>
    <mergeCell ref="L157:L158"/>
    <mergeCell ref="M157:M158"/>
    <mergeCell ref="N157:N158"/>
    <mergeCell ref="O157:O158"/>
    <mergeCell ref="P157:P158"/>
    <mergeCell ref="Q157:Q158"/>
    <mergeCell ref="R157:R158"/>
    <mergeCell ref="S157:S158"/>
    <mergeCell ref="T157:T158"/>
    <mergeCell ref="E153:E155"/>
    <mergeCell ref="F153:F155"/>
    <mergeCell ref="G153:G155"/>
    <mergeCell ref="H153:H155"/>
    <mergeCell ref="I153:I155"/>
    <mergeCell ref="J153:J155"/>
    <mergeCell ref="K153:K155"/>
    <mergeCell ref="B78:B79"/>
    <mergeCell ref="W78:W79"/>
    <mergeCell ref="T162:T163"/>
    <mergeCell ref="S159:S161"/>
    <mergeCell ref="T159:T161"/>
    <mergeCell ref="N162:N163"/>
    <mergeCell ref="O162:O163"/>
    <mergeCell ref="P162:P163"/>
    <mergeCell ref="Q162:Q163"/>
    <mergeCell ref="R162:R163"/>
    <mergeCell ref="E159:E161"/>
    <mergeCell ref="F159:F161"/>
    <mergeCell ref="G159:G161"/>
    <mergeCell ref="H159:H161"/>
    <mergeCell ref="I159:I161"/>
    <mergeCell ref="J159:J161"/>
    <mergeCell ref="K159:K161"/>
    <mergeCell ref="L159:L161"/>
    <mergeCell ref="M159:M161"/>
    <mergeCell ref="O153:O155"/>
    <mergeCell ref="P153:P155"/>
    <mergeCell ref="Q153:Q155"/>
    <mergeCell ref="R153:R155"/>
    <mergeCell ref="S153:S155"/>
    <mergeCell ref="K136:K140"/>
    <mergeCell ref="B145:B146"/>
    <mergeCell ref="B150:B152"/>
    <mergeCell ref="B154:B155"/>
    <mergeCell ref="U6:W6"/>
    <mergeCell ref="B62:B67"/>
    <mergeCell ref="W72:W73"/>
    <mergeCell ref="E162:E163"/>
    <mergeCell ref="F162:F163"/>
    <mergeCell ref="G162:G163"/>
    <mergeCell ref="H162:H163"/>
    <mergeCell ref="I162:I163"/>
    <mergeCell ref="J162:J163"/>
    <mergeCell ref="K162:K163"/>
    <mergeCell ref="L162:L163"/>
    <mergeCell ref="M162:M163"/>
    <mergeCell ref="N159:N161"/>
    <mergeCell ref="O159:O161"/>
    <mergeCell ref="P159:P161"/>
    <mergeCell ref="Q159:Q161"/>
    <mergeCell ref="R159:R161"/>
    <mergeCell ref="S162:S163"/>
    <mergeCell ref="B69:B70"/>
    <mergeCell ref="W69:W70"/>
    <mergeCell ref="B143:B144"/>
    <mergeCell ref="B147:B148"/>
    <mergeCell ref="B81:B84"/>
    <mergeCell ref="W137:W140"/>
    <mergeCell ref="E149:E152"/>
    <mergeCell ref="F149:F152"/>
    <mergeCell ref="O149:O152"/>
    <mergeCell ref="P149:P152"/>
    <mergeCell ref="Q149:Q152"/>
    <mergeCell ref="R149:R152"/>
    <mergeCell ref="S149:S152"/>
    <mergeCell ref="T149:T152"/>
    <mergeCell ref="O133:O135"/>
    <mergeCell ref="P133:P135"/>
    <mergeCell ref="Q133:Q135"/>
    <mergeCell ref="R133:R135"/>
    <mergeCell ref="S133:S135"/>
    <mergeCell ref="T133:T135"/>
    <mergeCell ref="E136:E140"/>
    <mergeCell ref="F136:F140"/>
    <mergeCell ref="G136:G140"/>
    <mergeCell ref="H136:H140"/>
    <mergeCell ref="I136:I140"/>
    <mergeCell ref="J136:J140"/>
  </mergeCells>
  <conditionalFormatting sqref="Z13:AH13 X13 X160:X161 X143:X148 X163 Z163:AH163 Z154:AH155 X154:X155 Z160:Z161 Z143:AH148 AB160:AH161">
    <cfRule type="expression" dxfId="54" priority="139">
      <formula>$X13="NA"</formula>
    </cfRule>
  </conditionalFormatting>
  <conditionalFormatting sqref="AH58:AH59">
    <cfRule type="expression" dxfId="53" priority="40">
      <formula>$X58="NA"</formula>
    </cfRule>
  </conditionalFormatting>
  <conditionalFormatting sqref="Z58:AH59 X58:X59">
    <cfRule type="expression" dxfId="52" priority="41">
      <formula>$X58="NA"</formula>
    </cfRule>
  </conditionalFormatting>
  <conditionalFormatting sqref="AH53:AH56">
    <cfRule type="expression" dxfId="51" priority="42">
      <formula>$X53="NA"</formula>
    </cfRule>
  </conditionalFormatting>
  <conditionalFormatting sqref="Z53:AH56 X53:X56">
    <cfRule type="expression" dxfId="50" priority="43">
      <formula>$X53="NA"</formula>
    </cfRule>
  </conditionalFormatting>
  <conditionalFormatting sqref="AH49:AH51">
    <cfRule type="expression" dxfId="49" priority="44">
      <formula>$X49="NA"</formula>
    </cfRule>
  </conditionalFormatting>
  <conditionalFormatting sqref="Z49:AH51 X49:X51">
    <cfRule type="expression" dxfId="48" priority="45">
      <formula>$X49="NA"</formula>
    </cfRule>
  </conditionalFormatting>
  <conditionalFormatting sqref="AH43:AH46">
    <cfRule type="expression" dxfId="47" priority="46">
      <formula>$X43="NA"</formula>
    </cfRule>
  </conditionalFormatting>
  <conditionalFormatting sqref="Z43:AH46 X43:X46">
    <cfRule type="expression" dxfId="46" priority="47">
      <formula>$X43="NA"</formula>
    </cfRule>
  </conditionalFormatting>
  <conditionalFormatting sqref="AH38:AH41">
    <cfRule type="expression" dxfId="45" priority="48">
      <formula>$X38="NA"</formula>
    </cfRule>
  </conditionalFormatting>
  <conditionalFormatting sqref="Z38:AH41 X38:X41">
    <cfRule type="expression" dxfId="44" priority="49">
      <formula>$X38="NA"</formula>
    </cfRule>
  </conditionalFormatting>
  <conditionalFormatting sqref="AH30:AH36">
    <cfRule type="expression" dxfId="43" priority="50">
      <formula>$X30="NA"</formula>
    </cfRule>
  </conditionalFormatting>
  <conditionalFormatting sqref="Z30:AH36 X30:X36">
    <cfRule type="expression" dxfId="42" priority="51">
      <formula>$X30="NA"</formula>
    </cfRule>
  </conditionalFormatting>
  <conditionalFormatting sqref="AH23:AH27">
    <cfRule type="expression" dxfId="41" priority="52">
      <formula>$X23="NA"</formula>
    </cfRule>
  </conditionalFormatting>
  <conditionalFormatting sqref="Z23:AH27 X23:X27">
    <cfRule type="expression" dxfId="40" priority="53">
      <formula>$X23="NA"</formula>
    </cfRule>
  </conditionalFormatting>
  <conditionalFormatting sqref="Z20:AH21 X20:X21">
    <cfRule type="expression" dxfId="39" priority="55">
      <formula>$X20="NA"</formula>
    </cfRule>
  </conditionalFormatting>
  <conditionalFormatting sqref="AH13">
    <cfRule type="expression" dxfId="38" priority="67">
      <formula>$X13="NA"</formula>
    </cfRule>
  </conditionalFormatting>
  <conditionalFormatting sqref="Z158:AH158 X158 AA160:AA161">
    <cfRule type="expression" dxfId="37" priority="9">
      <formula>$X158="NA"</formula>
    </cfRule>
  </conditionalFormatting>
  <conditionalFormatting sqref="Z101:AH110 X101:X110">
    <cfRule type="expression" dxfId="36" priority="25">
      <formula>$X101="NA"</formula>
    </cfRule>
  </conditionalFormatting>
  <conditionalFormatting sqref="AH62:AH70">
    <cfRule type="expression" dxfId="35" priority="38">
      <formula>$X62="NA"</formula>
    </cfRule>
  </conditionalFormatting>
  <conditionalFormatting sqref="AH14">
    <cfRule type="expression" dxfId="34" priority="58">
      <formula>$X14="NA"</formula>
    </cfRule>
  </conditionalFormatting>
  <conditionalFormatting sqref="Z14:AH14 X14">
    <cfRule type="expression" dxfId="33" priority="59">
      <formula>$X14="NA"</formula>
    </cfRule>
  </conditionalFormatting>
  <conditionalFormatting sqref="Z16:AH18 X16:X18">
    <cfRule type="expression" dxfId="32" priority="57">
      <formula>$X16="NA"</formula>
    </cfRule>
  </conditionalFormatting>
  <conditionalFormatting sqref="AH16:AH18">
    <cfRule type="expression" dxfId="31" priority="56">
      <formula>$X16="NA"</formula>
    </cfRule>
  </conditionalFormatting>
  <conditionalFormatting sqref="AH20:AH21">
    <cfRule type="expression" dxfId="30" priority="54">
      <formula>$X20="NA"</formula>
    </cfRule>
  </conditionalFormatting>
  <conditionalFormatting sqref="Z62:AH70 X62:X70">
    <cfRule type="expression" dxfId="29" priority="39">
      <formula>$X62="NA"</formula>
    </cfRule>
  </conditionalFormatting>
  <conditionalFormatting sqref="Z72:AH73 X72:X73">
    <cfRule type="expression" dxfId="28" priority="37">
      <formula>$X72="NA"</formula>
    </cfRule>
  </conditionalFormatting>
  <conditionalFormatting sqref="AH72:AH73">
    <cfRule type="expression" dxfId="27" priority="36">
      <formula>$X72="NA"</formula>
    </cfRule>
  </conditionalFormatting>
  <conditionalFormatting sqref="Z75:AH76 X75:X76">
    <cfRule type="expression" dxfId="26" priority="35">
      <formula>$X75="NA"</formula>
    </cfRule>
  </conditionalFormatting>
  <conditionalFormatting sqref="AH75:AH76">
    <cfRule type="expression" dxfId="25" priority="34">
      <formula>$X75="NA"</formula>
    </cfRule>
  </conditionalFormatting>
  <conditionalFormatting sqref="Z78:AH79 X78:X79">
    <cfRule type="expression" dxfId="24" priority="33">
      <formula>$X78="NA"</formula>
    </cfRule>
  </conditionalFormatting>
  <conditionalFormatting sqref="AH78:AH79">
    <cfRule type="expression" dxfId="23" priority="32">
      <formula>$X78="NA"</formula>
    </cfRule>
  </conditionalFormatting>
  <conditionalFormatting sqref="Z81:AH85 X81:X85">
    <cfRule type="expression" dxfId="22" priority="31">
      <formula>$X81="NA"</formula>
    </cfRule>
  </conditionalFormatting>
  <conditionalFormatting sqref="AH81:AH85">
    <cfRule type="expression" dxfId="21" priority="30">
      <formula>$X81="NA"</formula>
    </cfRule>
  </conditionalFormatting>
  <conditionalFormatting sqref="Z88:AH93 X88:X93">
    <cfRule type="expression" dxfId="20" priority="29">
      <formula>$X88="NA"</formula>
    </cfRule>
  </conditionalFormatting>
  <conditionalFormatting sqref="AH88:AH93">
    <cfRule type="expression" dxfId="19" priority="28">
      <formula>$X88="NA"</formula>
    </cfRule>
  </conditionalFormatting>
  <conditionalFormatting sqref="Z95:AH99 X95:X99">
    <cfRule type="expression" dxfId="18" priority="27">
      <formula>$X95="NA"</formula>
    </cfRule>
  </conditionalFormatting>
  <conditionalFormatting sqref="AH95:AH99">
    <cfRule type="expression" dxfId="17" priority="26">
      <formula>$X95="NA"</formula>
    </cfRule>
  </conditionalFormatting>
  <conditionalFormatting sqref="AH101:AH110">
    <cfRule type="expression" dxfId="16" priority="24">
      <formula>$X101="NA"</formula>
    </cfRule>
  </conditionalFormatting>
  <conditionalFormatting sqref="Z112:AH121 X112:X121">
    <cfRule type="expression" dxfId="15" priority="23">
      <formula>$X112="NA"</formula>
    </cfRule>
  </conditionalFormatting>
  <conditionalFormatting sqref="AH112:AH121">
    <cfRule type="expression" dxfId="14" priority="22">
      <formula>$X112="NA"</formula>
    </cfRule>
  </conditionalFormatting>
  <conditionalFormatting sqref="Z123:AH132 X123:X132">
    <cfRule type="expression" dxfId="13" priority="21">
      <formula>$X123="NA"</formula>
    </cfRule>
  </conditionalFormatting>
  <conditionalFormatting sqref="AH123:AH132">
    <cfRule type="expression" dxfId="12" priority="20">
      <formula>$X123="NA"</formula>
    </cfRule>
  </conditionalFormatting>
  <conditionalFormatting sqref="Z134:AH135 X134:X135">
    <cfRule type="expression" dxfId="11" priority="19">
      <formula>$X134="NA"</formula>
    </cfRule>
  </conditionalFormatting>
  <conditionalFormatting sqref="AH134:AH135">
    <cfRule type="expression" dxfId="10" priority="18">
      <formula>$X134="NA"</formula>
    </cfRule>
  </conditionalFormatting>
  <conditionalFormatting sqref="Z137:AH140 X137:X140">
    <cfRule type="expression" dxfId="9" priority="17">
      <formula>$X137="NA"</formula>
    </cfRule>
  </conditionalFormatting>
  <conditionalFormatting sqref="AH137:AH140">
    <cfRule type="expression" dxfId="8" priority="16">
      <formula>$X137="NA"</formula>
    </cfRule>
  </conditionalFormatting>
  <conditionalFormatting sqref="Z150:AH152 X150 X152">
    <cfRule type="expression" dxfId="7" priority="13">
      <formula>$X150="NA"</formula>
    </cfRule>
  </conditionalFormatting>
  <conditionalFormatting sqref="AH150:AH152">
    <cfRule type="expression" dxfId="6" priority="12">
      <formula>$X150="NA"</formula>
    </cfRule>
  </conditionalFormatting>
  <conditionalFormatting sqref="AH158">
    <cfRule type="expression" dxfId="5" priority="8">
      <formula>$X158="NA"</formula>
    </cfRule>
  </conditionalFormatting>
  <conditionalFormatting sqref="X151">
    <cfRule type="expression" dxfId="4" priority="1">
      <formula>$X151="NA"</formula>
    </cfRule>
  </conditionalFormatting>
  <dataValidations xWindow="1166" yWindow="632" count="14">
    <dataValidation allowBlank="1" showInputMessage="1" showErrorMessage="1" prompt="Indiquez l'email du responsable de l'autodiagnostic" sqref="X6"/>
    <dataValidation type="list" allowBlank="1" showErrorMessage="1" sqref="U81:U85 U144:U148 U137:U140 U134:U135 U95:U99 U72:U73 U78:U79 U123:U132 U88:U93 U58:U59 U112:U121 U62:U70 U101:U110 U75:U76 U53:U56 U49:U51 U43:U46 U38:U41 U30:U36 U23:U27 U20:U21 U16:U18 U13:U14">
      <formula1>$BB$12:$BB$13</formula1>
    </dataValidation>
    <dataValidation allowBlank="1" showInputMessage="1" showErrorMessage="1" prompt="Indiquez la date de l'autodiagnostic" sqref="E4:U4"/>
    <dataValidation allowBlank="1" showInputMessage="1" showErrorMessage="1" prompt="Indiquez les noms des personnes ayant été associées à l'autodiagnostic (être plusieurs évite les subjectivités individuelles)" sqref="E7:U7"/>
    <dataValidation allowBlank="1" showInputMessage="1" showErrorMessage="1" prompt="Indiquez votre preuve" sqref="X13:X14 X16:X18 X20:X21 X23:X27 X30:X36 X38:X41 X58:X59 X49:X51 X53:X56 X150:X152 X137:X140 X163 X72:X73 X75:X76 X62:X70 X134:X135 X154:X155 X81:X85 X43:X46 X101:X110 X112:X121 X123:X132 X158 X78:X79 X88:X93 X95:X99 X160:X161 X143:X148"/>
    <dataValidation allowBlank="1" showInputMessage="1" showErrorMessage="1" prompt="Indiquez le nom du responsable de l'autodiagnostic" sqref="E5:U5"/>
    <dataValidation allowBlank="1" showInputMessage="1" showErrorMessage="1" prompt="Indiquez le téléphone du responsable de l'autodiagnostic" sqref="E6:U6"/>
    <dataValidation type="list" showInputMessage="1" prompt="INDIQUEZ VOTRE NIVEAU DE VÉRACITÉ" sqref="Y13:Y14">
      <formula1>IF($U$13="non",na,liste1)</formula1>
    </dataValidation>
    <dataValidation type="list" allowBlank="1" showInputMessage="1" showErrorMessage="1" prompt="INDIQUEZ VOTRE NIVEAU DE VÉRACITÉ" sqref="Y16:Y18 Y20:Y21">
      <formula1>IF($U16="non",na,liste1)</formula1>
    </dataValidation>
    <dataValidation type="list" allowBlank="1" showInputMessage="1" prompt="INDIQUEZ VOTRE NIVEAU DE VÉRACITÉ" sqref="Y23:Y27 Y160:Y161 Y38:Y41 Y43:Y46 Y49:Y51 Y53:Y56 Y58:Y59 Y137:Y140 Y72:Y73 Y75:Y76 Y78:Y79 Y30:Y36 Y95:Y99 Y101:Y110 Y150:Y152 Y88:Y93 Y112:Y121 Y154:Y155 Y158 Y81:Y85 Y62:Y70 Y134:Y135 Y143:Y148 Y163 Y123:Y132">
      <formula1>IF($U23="non",na,liste1)</formula1>
    </dataValidation>
    <dataValidation allowBlank="1" showInputMessage="1" showErrorMessage="1" prompt="Cochez la case de la personne auditée" sqref="K12:K14 L12:T163 E12:J163 K19:K163"/>
    <dataValidation allowBlank="1" showInputMessage="1" showErrorMessage="1" prompt="Cochez la case de(s) la personne(s) auditée(s)" sqref="K15:K18"/>
    <dataValidation type="list" allowBlank="1" showInputMessage="1" showErrorMessage="1" sqref="AG163 AG81:AG85 AG88:AG93 AG95:AG99 AG101:AG110 AG112:AG121 AG123:AG132 AG134:AG135 AG137:AG140 AG150:AG152 AG154:AG155 AG158 AG16:AG18 AG78:AG79 AG75:AG76 AG72:AG73 AG62:AG70 AG58:AG59 AG53:AG56 AG49:AG51 AG43:AG46 AG38:AG41 AG30:AG36 AG23:AG27 AG20:AG21 AG13:AG14 AG160:AG161 AG143:AG148">
      <formula1>$BE$12:$BE$16</formula1>
    </dataValidation>
    <dataValidation type="list" allowBlank="1" showInputMessage="1" sqref="AD20:AD21 AD23:AD27 AD30:AD36 AD38:AD41 AD43:AD46 AD49:AD51 AD53:AD56 AD58:AD59 AD62:AD70 AD72:AD73 AD75:AD76 AD78:AD79 AD81:AD85 AD88:AD93 AD95:AD99 AD101:AD110 AD112:AD121 AD123:AD132 AD134:AD135 AD137:AD140 AD143:AD148 AD150:AD152 AD154:AD155 AD158 AD160:AD161 AD13:AD14 AD163 AD16:AD18">
      <formula1>$E$11:$T$11</formula1>
    </dataValidation>
  </dataValidations>
  <printOptions horizontalCentered="1"/>
  <pageMargins left="0.3543307086614173" right="0.3543307086614173" top="0.59055118110236215" bottom="0.59055118110236215" header="0.31496062992125984" footer="0.3543307086614173"/>
  <pageSetup paperSize="9" scale="55" fitToWidth="0" orientation="portrait" r:id="rId1"/>
  <headerFooter alignWithMargins="0">
    <oddHeader>&amp;L&amp;"Arial Narrow,Normal"&amp;8 UTC  - Master Qualité -  www.utc.fr/master-qualite &amp;C&amp;"Arial Narrow,Normal"&amp;8Onglet : &amp;A&amp;R&amp;"Arial Narrow,Normal"&amp;8Fichier : &amp;F</oddHeader>
    <oddFooter>&amp;L&amp;"Arial Narrow,Normal"&amp;8Version de Juillet 2018&amp;C&amp;"Arial Narrow,Normal"&amp;8©2018 : Master 2 Qualité et Performance dans les Organisations&amp;R&amp;"Arial Narrow,Normal"&amp;8page n° &amp;P/&amp;N</oddFooter>
  </headerFooter>
  <rowBreaks count="2" manualBreakCount="2">
    <brk id="27" max="31" man="1"/>
    <brk id="56" max="31" man="1"/>
  </rowBreaks>
  <colBreaks count="1" manualBreakCount="1">
    <brk id="24" max="16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8A8F"/>
  </sheetPr>
  <dimension ref="A1:AS84"/>
  <sheetViews>
    <sheetView showGridLines="0" zoomScaleNormal="100" zoomScaleSheetLayoutView="100" workbookViewId="0">
      <selection activeCell="I15" sqref="I15"/>
    </sheetView>
  </sheetViews>
  <sheetFormatPr baseColWidth="10" defaultColWidth="11" defaultRowHeight="15" x14ac:dyDescent="0.25"/>
  <cols>
    <col min="1" max="1" width="0.5703125" style="37" customWidth="1"/>
    <col min="2" max="2" width="7.28515625" style="227" customWidth="1"/>
    <col min="3" max="3" width="13.85546875" style="37" customWidth="1"/>
    <col min="4" max="4" width="18.28515625" style="37" customWidth="1"/>
    <col min="5" max="5" width="22.42578125" style="37" customWidth="1"/>
    <col min="6" max="6" width="18" style="37" bestFit="1" customWidth="1"/>
    <col min="7" max="7" width="17.5703125" style="37" bestFit="1" customWidth="1"/>
    <col min="8" max="8" width="18" style="37" bestFit="1" customWidth="1"/>
    <col min="9" max="9" width="37.5703125" style="37" customWidth="1"/>
    <col min="10" max="10" width="1.140625" style="37" customWidth="1"/>
    <col min="11" max="11" width="29.42578125" style="37" customWidth="1"/>
    <col min="12" max="12" width="60.7109375" style="497" customWidth="1"/>
    <col min="13" max="13" width="36.28515625" style="497" bestFit="1" customWidth="1"/>
    <col min="14" max="14" width="11" style="497"/>
    <col min="15" max="15" width="11" style="497" customWidth="1"/>
    <col min="16" max="16" width="11" style="497"/>
    <col min="17" max="17" width="14.42578125" style="497" customWidth="1"/>
    <col min="18" max="19" width="11" style="497"/>
    <col min="20" max="21" width="9.140625" style="497" customWidth="1"/>
    <col min="22" max="22" width="20.140625" style="497" customWidth="1"/>
    <col min="23" max="41" width="10.85546875" style="497" customWidth="1"/>
    <col min="42" max="54" width="10.85546875" style="37" customWidth="1"/>
    <col min="55" max="16384" width="11" style="37"/>
  </cols>
  <sheetData>
    <row r="1" spans="1:40" s="50" customFormat="1" ht="11.25" x14ac:dyDescent="0.2">
      <c r="A1" s="43"/>
      <c r="B1" s="233" t="str">
        <f>Présentation!A1</f>
        <v>Document basé sur la norme EN9100</v>
      </c>
      <c r="C1" s="45"/>
      <c r="D1" s="46"/>
      <c r="E1" s="46"/>
      <c r="F1" s="46"/>
      <c r="G1" s="46"/>
      <c r="H1" s="47"/>
      <c r="I1" s="47" t="s">
        <v>25</v>
      </c>
      <c r="J1" s="48"/>
      <c r="K1" s="49"/>
      <c r="L1" s="460"/>
      <c r="M1" s="460"/>
      <c r="N1" s="473"/>
      <c r="O1" s="460"/>
      <c r="P1" s="460"/>
      <c r="Q1" s="460"/>
      <c r="R1" s="460"/>
      <c r="S1" s="460"/>
      <c r="T1" s="460"/>
      <c r="U1" s="460"/>
      <c r="V1" s="460"/>
      <c r="W1" s="460"/>
      <c r="X1" s="460"/>
      <c r="Y1" s="460"/>
      <c r="Z1" s="460"/>
      <c r="AA1" s="460"/>
      <c r="AB1" s="460"/>
      <c r="AC1" s="28"/>
      <c r="AD1" s="28"/>
      <c r="AE1" s="28"/>
      <c r="AF1" s="28"/>
      <c r="AG1" s="28"/>
      <c r="AH1" s="28"/>
      <c r="AI1" s="28"/>
      <c r="AJ1" s="28"/>
      <c r="AK1" s="28"/>
      <c r="AL1" s="28"/>
      <c r="AM1" s="28"/>
      <c r="AN1" s="28"/>
    </row>
    <row r="2" spans="1:40" s="55" customFormat="1" ht="21" customHeight="1" x14ac:dyDescent="0.2">
      <c r="A2" s="51"/>
      <c r="B2" s="714" t="str">
        <f>Présentation!A3</f>
        <v>QualAéro: La Qualité dans l'Aéronautique</v>
      </c>
      <c r="C2" s="715"/>
      <c r="D2" s="715"/>
      <c r="E2" s="715"/>
      <c r="F2" s="715"/>
      <c r="G2" s="715"/>
      <c r="H2" s="715"/>
      <c r="I2" s="715"/>
      <c r="J2" s="52"/>
      <c r="K2" s="53"/>
      <c r="L2" s="474"/>
      <c r="M2" s="460"/>
      <c r="N2" s="460"/>
      <c r="O2" s="460"/>
      <c r="P2" s="460"/>
      <c r="Q2" s="474"/>
      <c r="R2" s="474"/>
      <c r="S2" s="474"/>
      <c r="T2" s="474"/>
      <c r="U2" s="474"/>
      <c r="V2" s="474"/>
      <c r="W2" s="474"/>
      <c r="X2" s="474"/>
      <c r="Y2" s="474"/>
      <c r="Z2" s="474"/>
      <c r="AA2" s="474"/>
      <c r="AB2" s="474"/>
      <c r="AC2" s="54"/>
      <c r="AD2" s="54"/>
      <c r="AE2" s="54"/>
      <c r="AF2" s="54"/>
      <c r="AG2" s="54"/>
      <c r="AH2" s="54"/>
      <c r="AI2" s="54"/>
      <c r="AJ2" s="54"/>
      <c r="AK2" s="54"/>
      <c r="AL2" s="54"/>
      <c r="AM2" s="54"/>
      <c r="AN2" s="54"/>
    </row>
    <row r="3" spans="1:40" s="50" customFormat="1" ht="3.75" customHeight="1" x14ac:dyDescent="0.2">
      <c r="A3" s="56"/>
      <c r="B3" s="234"/>
      <c r="C3" s="58"/>
      <c r="D3" s="59"/>
      <c r="E3" s="60"/>
      <c r="F3" s="60"/>
      <c r="G3" s="60"/>
      <c r="H3" s="60"/>
      <c r="I3" s="2"/>
      <c r="J3" s="48"/>
      <c r="K3" s="49"/>
      <c r="L3" s="460"/>
      <c r="M3" s="460"/>
      <c r="N3" s="473"/>
      <c r="O3" s="460"/>
      <c r="P3" s="460"/>
      <c r="Q3" s="460"/>
      <c r="R3" s="460"/>
      <c r="S3" s="460"/>
      <c r="T3" s="460"/>
      <c r="U3" s="460"/>
      <c r="V3" s="460"/>
      <c r="W3" s="460"/>
      <c r="X3" s="460"/>
      <c r="Y3" s="460"/>
      <c r="Z3" s="460"/>
      <c r="AA3" s="460"/>
      <c r="AB3" s="460"/>
      <c r="AC3" s="28"/>
      <c r="AD3" s="28"/>
      <c r="AE3" s="28"/>
      <c r="AF3" s="28"/>
      <c r="AG3" s="28"/>
      <c r="AH3" s="28"/>
      <c r="AI3" s="28"/>
      <c r="AJ3" s="28"/>
      <c r="AK3" s="28"/>
      <c r="AL3" s="28"/>
      <c r="AM3" s="28"/>
      <c r="AN3" s="28"/>
    </row>
    <row r="4" spans="1:40" s="50" customFormat="1" ht="21.75" customHeight="1" x14ac:dyDescent="0.2">
      <c r="A4" s="56"/>
      <c r="B4" s="716" t="str">
        <f>Présentation!A7</f>
        <v>Etablissement :</v>
      </c>
      <c r="C4" s="717"/>
      <c r="D4" s="718" t="str">
        <f>Présentation!D7</f>
        <v>Nom de l'établissement / entreprise / service...</v>
      </c>
      <c r="E4" s="719"/>
      <c r="F4" s="61" t="str">
        <f>Exigences!C4</f>
        <v>Date de l'autodiagnostic : </v>
      </c>
      <c r="G4" s="62" t="str">
        <f>IFERROR(IF(Exigences!#REF!="","",Exigences!#REF!),"")</f>
        <v/>
      </c>
      <c r="H4" s="63" t="str">
        <f>Exigences!C7</f>
        <v>L'équipe du projet de certification:</v>
      </c>
      <c r="I4" s="64"/>
      <c r="J4" s="48"/>
      <c r="K4" s="49"/>
      <c r="L4" s="460"/>
      <c r="M4" s="460"/>
      <c r="N4" s="473"/>
      <c r="O4" s="460"/>
      <c r="P4" s="460"/>
      <c r="Q4" s="460"/>
      <c r="R4" s="460"/>
      <c r="S4" s="460"/>
      <c r="T4" s="460"/>
      <c r="U4" s="460"/>
      <c r="V4" s="460"/>
      <c r="W4" s="460"/>
      <c r="X4" s="460"/>
      <c r="Y4" s="460"/>
      <c r="Z4" s="460"/>
      <c r="AA4" s="460"/>
      <c r="AB4" s="460"/>
      <c r="AC4" s="28"/>
      <c r="AD4" s="28"/>
      <c r="AE4" s="28"/>
      <c r="AF4" s="28"/>
      <c r="AG4" s="28"/>
      <c r="AH4" s="28"/>
      <c r="AI4" s="28"/>
      <c r="AJ4" s="28"/>
      <c r="AK4" s="28"/>
      <c r="AL4" s="28"/>
      <c r="AM4" s="28"/>
      <c r="AN4" s="28"/>
    </row>
    <row r="5" spans="1:40" s="50" customFormat="1" ht="15.75" customHeight="1" x14ac:dyDescent="0.2">
      <c r="A5" s="56"/>
      <c r="B5" s="720" t="str">
        <f>Présentation!A8</f>
        <v xml:space="preserve"> Responsable du SMQ: </v>
      </c>
      <c r="C5" s="721"/>
      <c r="D5" s="722" t="str">
        <f>Présentation!D8</f>
        <v>NOM et Prénom du Responsable Qualité</v>
      </c>
      <c r="E5" s="723"/>
      <c r="F5" s="66" t="s">
        <v>58</v>
      </c>
      <c r="G5" s="65" t="str">
        <f>IF(Exigences!U5="","",Exigences!U5)</f>
        <v>NOM et Prénom</v>
      </c>
      <c r="H5" s="724" t="str">
        <f>Exigences!U7</f>
        <v>Nom et Prénom des participants</v>
      </c>
      <c r="I5" s="725"/>
      <c r="J5" s="48"/>
      <c r="K5" s="49"/>
      <c r="L5" s="460"/>
      <c r="M5" s="460"/>
      <c r="N5" s="473"/>
      <c r="O5" s="460"/>
      <c r="P5" s="460"/>
      <c r="Q5" s="460"/>
      <c r="R5" s="460"/>
      <c r="S5" s="460"/>
      <c r="T5" s="460"/>
      <c r="U5" s="460"/>
      <c r="V5" s="460"/>
      <c r="W5" s="460"/>
      <c r="X5" s="460"/>
      <c r="Y5" s="460"/>
      <c r="Z5" s="460"/>
      <c r="AA5" s="460"/>
      <c r="AB5" s="460"/>
      <c r="AC5" s="28"/>
      <c r="AD5" s="28"/>
      <c r="AE5" s="28"/>
      <c r="AF5" s="28"/>
      <c r="AG5" s="28"/>
      <c r="AH5" s="28"/>
      <c r="AI5" s="28"/>
      <c r="AJ5" s="28"/>
      <c r="AK5" s="28"/>
      <c r="AL5" s="28"/>
      <c r="AM5" s="28"/>
      <c r="AN5" s="28"/>
    </row>
    <row r="6" spans="1:40" s="50" customFormat="1" ht="15.75" customHeight="1" x14ac:dyDescent="0.2">
      <c r="A6" s="56"/>
      <c r="B6" s="728"/>
      <c r="C6" s="729"/>
      <c r="D6" s="67" t="str">
        <f>Présentation!D9</f>
        <v>Email :</v>
      </c>
      <c r="E6" s="68" t="str">
        <f>Présentation!H9</f>
        <v>Tél :</v>
      </c>
      <c r="F6" s="69" t="s">
        <v>329</v>
      </c>
      <c r="G6" s="70" t="str">
        <f>Exigences!X6</f>
        <v>@ :</v>
      </c>
      <c r="H6" s="726"/>
      <c r="I6" s="727"/>
      <c r="J6" s="48"/>
      <c r="K6" s="49"/>
      <c r="L6" s="460"/>
      <c r="M6" s="460"/>
      <c r="N6" s="473"/>
      <c r="O6" s="460"/>
      <c r="P6" s="460"/>
      <c r="Q6" s="460"/>
      <c r="R6" s="460"/>
      <c r="S6" s="460"/>
      <c r="T6" s="460"/>
      <c r="U6" s="460"/>
      <c r="V6" s="460"/>
      <c r="W6" s="460"/>
      <c r="X6" s="460"/>
      <c r="Y6" s="460"/>
      <c r="Z6" s="460"/>
      <c r="AA6" s="460"/>
      <c r="AB6" s="460"/>
      <c r="AC6" s="28"/>
      <c r="AD6" s="28"/>
      <c r="AE6" s="28"/>
      <c r="AF6" s="28"/>
      <c r="AG6" s="28"/>
      <c r="AH6" s="28"/>
      <c r="AI6" s="28"/>
      <c r="AJ6" s="28"/>
      <c r="AK6" s="28"/>
      <c r="AL6" s="28"/>
      <c r="AM6" s="28"/>
      <c r="AN6" s="28"/>
    </row>
    <row r="7" spans="1:40" s="50" customFormat="1" ht="6.75" customHeight="1" x14ac:dyDescent="0.2">
      <c r="A7" s="56"/>
      <c r="B7" s="235"/>
      <c r="C7" s="72"/>
      <c r="D7" s="72"/>
      <c r="E7" s="72"/>
      <c r="F7" s="71"/>
      <c r="G7" s="71"/>
      <c r="H7" s="72"/>
      <c r="I7" s="73"/>
      <c r="J7" s="48"/>
      <c r="K7" s="49"/>
      <c r="L7" s="460"/>
      <c r="M7" s="460"/>
      <c r="N7" s="473"/>
      <c r="O7" s="460"/>
      <c r="P7" s="460"/>
      <c r="Q7" s="460"/>
      <c r="R7" s="460"/>
      <c r="S7" s="460"/>
      <c r="T7" s="460"/>
      <c r="U7" s="460"/>
      <c r="V7" s="460"/>
      <c r="W7" s="460"/>
      <c r="X7" s="460"/>
      <c r="Y7" s="460"/>
      <c r="Z7" s="460"/>
      <c r="AA7" s="460"/>
      <c r="AB7" s="460"/>
      <c r="AC7" s="28"/>
      <c r="AD7" s="28"/>
      <c r="AE7" s="28"/>
      <c r="AF7" s="28"/>
      <c r="AG7" s="28"/>
      <c r="AH7" s="28"/>
      <c r="AI7" s="28"/>
      <c r="AJ7" s="28"/>
      <c r="AK7" s="28"/>
      <c r="AL7" s="28"/>
      <c r="AM7" s="28"/>
      <c r="AN7" s="28"/>
    </row>
    <row r="8" spans="1:40" s="50" customFormat="1" ht="21.75" customHeight="1" x14ac:dyDescent="0.2">
      <c r="A8" s="56"/>
      <c r="B8" s="730"/>
      <c r="C8" s="731"/>
      <c r="D8" s="731"/>
      <c r="E8" s="731"/>
      <c r="F8" s="731"/>
      <c r="G8" s="731"/>
      <c r="H8" s="731"/>
      <c r="I8" s="732"/>
      <c r="J8" s="48"/>
      <c r="K8" s="49"/>
      <c r="L8" s="460"/>
      <c r="M8" s="475"/>
      <c r="N8" s="476"/>
      <c r="O8" s="477" t="s">
        <v>31</v>
      </c>
      <c r="P8" s="475"/>
      <c r="Q8" s="478"/>
      <c r="R8" s="478"/>
      <c r="S8" s="478"/>
      <c r="T8" s="478"/>
      <c r="U8" s="479"/>
      <c r="V8" s="460"/>
      <c r="W8" s="460"/>
      <c r="X8" s="460"/>
      <c r="Y8" s="460"/>
      <c r="Z8" s="460"/>
      <c r="AA8" s="460"/>
      <c r="AB8" s="460"/>
      <c r="AC8" s="28"/>
      <c r="AD8" s="28"/>
      <c r="AE8" s="28"/>
      <c r="AF8" s="28"/>
      <c r="AG8" s="28"/>
      <c r="AH8" s="28"/>
      <c r="AI8" s="28"/>
      <c r="AJ8" s="28"/>
      <c r="AK8" s="28"/>
      <c r="AL8" s="28"/>
      <c r="AM8" s="28"/>
      <c r="AN8" s="28"/>
    </row>
    <row r="9" spans="1:40" s="28" customFormat="1" ht="27" customHeight="1" x14ac:dyDescent="0.2">
      <c r="A9" s="74"/>
      <c r="B9" s="733" t="str">
        <f>CONCATENATE("Niveaux de VÉRACITÉ des ", U12,  " exigences évaluées")</f>
        <v>Niveaux de VÉRACITÉ des 118 exigences évaluées</v>
      </c>
      <c r="C9" s="734"/>
      <c r="D9" s="734"/>
      <c r="E9" s="735"/>
      <c r="F9" s="736" t="s">
        <v>511</v>
      </c>
      <c r="G9" s="736"/>
      <c r="H9" s="736"/>
      <c r="I9" s="737"/>
      <c r="J9" s="48"/>
      <c r="K9" s="49"/>
      <c r="L9" s="460"/>
      <c r="M9" s="460"/>
      <c r="N9" s="460"/>
      <c r="O9" s="460"/>
      <c r="P9" s="475"/>
      <c r="Q9" s="478"/>
      <c r="R9" s="478"/>
      <c r="S9" s="478"/>
      <c r="T9" s="478"/>
      <c r="U9" s="479"/>
      <c r="V9" s="460"/>
      <c r="W9" s="460"/>
      <c r="X9" s="460"/>
      <c r="Y9" s="460"/>
      <c r="Z9" s="460"/>
      <c r="AA9" s="460"/>
      <c r="AB9" s="460"/>
    </row>
    <row r="10" spans="1:40" s="28" customFormat="1" ht="18.75" customHeight="1" x14ac:dyDescent="0.2">
      <c r="A10" s="34"/>
      <c r="B10" s="236"/>
      <c r="C10" s="157"/>
      <c r="D10" s="157"/>
      <c r="E10" s="157"/>
      <c r="F10" s="741" t="s">
        <v>29</v>
      </c>
      <c r="G10" s="742"/>
      <c r="H10" s="76">
        <f>H25</f>
        <v>0</v>
      </c>
      <c r="I10" s="77" t="str">
        <f>G25</f>
        <v>Niveau non applicable</v>
      </c>
      <c r="J10" s="48"/>
      <c r="K10" s="49"/>
      <c r="L10" s="460"/>
      <c r="M10" s="480" t="s">
        <v>16</v>
      </c>
      <c r="N10" s="477"/>
      <c r="O10" s="475"/>
      <c r="P10" s="460"/>
      <c r="Q10" s="481"/>
      <c r="R10" s="477" t="s">
        <v>14</v>
      </c>
      <c r="S10" s="481"/>
      <c r="T10" s="477"/>
      <c r="U10" s="460"/>
      <c r="V10" s="460"/>
      <c r="W10" s="460"/>
      <c r="X10" s="460"/>
      <c r="Y10" s="460"/>
      <c r="Z10" s="460"/>
      <c r="AA10" s="460"/>
      <c r="AB10" s="460"/>
    </row>
    <row r="11" spans="1:40" s="28" customFormat="1" ht="63" customHeight="1" x14ac:dyDescent="0.2">
      <c r="A11" s="34"/>
      <c r="B11" s="236"/>
      <c r="C11" s="157"/>
      <c r="D11" s="157"/>
      <c r="E11" s="157"/>
      <c r="F11" s="78"/>
      <c r="G11" s="75"/>
      <c r="H11" s="75"/>
      <c r="I11" s="79"/>
      <c r="J11" s="48"/>
      <c r="K11" s="49"/>
      <c r="L11" s="460"/>
      <c r="M11" s="477" t="s">
        <v>17</v>
      </c>
      <c r="N11" s="477" t="s">
        <v>4</v>
      </c>
      <c r="O11" s="477" t="s">
        <v>13</v>
      </c>
      <c r="P11" s="460"/>
      <c r="Q11" s="477" t="s">
        <v>15</v>
      </c>
      <c r="R11" s="477"/>
      <c r="S11" s="482" t="s">
        <v>5</v>
      </c>
      <c r="T11" s="483" t="s">
        <v>43</v>
      </c>
      <c r="U11" s="483" t="s">
        <v>42</v>
      </c>
      <c r="V11" s="460" t="s">
        <v>242</v>
      </c>
      <c r="W11" s="460"/>
      <c r="X11" s="460"/>
      <c r="Y11" s="460"/>
      <c r="Z11" s="460"/>
    </row>
    <row r="12" spans="1:40" s="28" customFormat="1" ht="33.75" customHeight="1" x14ac:dyDescent="0.2">
      <c r="A12" s="34"/>
      <c r="B12" s="236"/>
      <c r="C12" s="157"/>
      <c r="D12" s="157"/>
      <c r="E12" s="157"/>
      <c r="F12" s="78"/>
      <c r="G12" s="75"/>
      <c r="H12" s="75"/>
      <c r="I12" s="79"/>
      <c r="J12" s="48"/>
      <c r="K12" s="49"/>
      <c r="L12" s="460"/>
      <c r="M12" s="476" t="s">
        <v>27</v>
      </c>
      <c r="N12" s="476">
        <f>SUM(N13:N16)</f>
        <v>0</v>
      </c>
      <c r="O12" s="484" t="s">
        <v>18</v>
      </c>
      <c r="P12" s="485">
        <f>U12/4</f>
        <v>29.5</v>
      </c>
      <c r="Q12" s="476" t="s">
        <v>27</v>
      </c>
      <c r="R12" s="476" t="s">
        <v>19</v>
      </c>
      <c r="S12" s="476">
        <f>SUM(S13:S16)</f>
        <v>0</v>
      </c>
      <c r="T12" s="486">
        <f>MAX(Exigences!AL13:AL163)-(S12+S17)</f>
        <v>118</v>
      </c>
      <c r="U12" s="486">
        <f>MAX(Exigences!AL13:AL163)-'Résultats Globaux'!S17</f>
        <v>118</v>
      </c>
      <c r="V12" s="476">
        <f>S12+S17</f>
        <v>0</v>
      </c>
      <c r="W12" s="460"/>
      <c r="X12" s="460"/>
      <c r="Y12" s="460"/>
      <c r="Z12" s="460"/>
    </row>
    <row r="13" spans="1:40" s="28" customFormat="1" ht="15.75" customHeight="1" x14ac:dyDescent="0.2">
      <c r="A13" s="34"/>
      <c r="F13" s="78"/>
      <c r="G13" s="75"/>
      <c r="H13" s="75"/>
      <c r="I13" s="79"/>
      <c r="J13" s="48"/>
      <c r="K13" s="49"/>
      <c r="L13" s="460"/>
      <c r="M13" s="487" t="str">
        <f>Présentation!G20</f>
        <v>Insuffisant</v>
      </c>
      <c r="N13" s="476">
        <f>IFERROR(COUNTIFS($G$27:$G$60,M13),0)</f>
        <v>0</v>
      </c>
      <c r="O13" s="476">
        <f>IF($G$25=M13,$P$12,0)</f>
        <v>0</v>
      </c>
      <c r="P13" s="460"/>
      <c r="Q13" s="487" t="s">
        <v>84</v>
      </c>
      <c r="R13" s="476">
        <f>Présentation!$M$20</f>
        <v>2</v>
      </c>
      <c r="S13" s="476">
        <f>IFERROR(COUNTIFS(Exigences!$AN:$AN,'Résultats Globaux'!$R13),0)</f>
        <v>0</v>
      </c>
      <c r="T13" s="473"/>
      <c r="U13" s="460"/>
      <c r="V13" s="460">
        <f>S12+S17</f>
        <v>0</v>
      </c>
      <c r="W13" s="460"/>
      <c r="X13" s="460"/>
      <c r="Y13" s="460"/>
      <c r="Z13" s="460"/>
    </row>
    <row r="14" spans="1:40" s="28" customFormat="1" ht="15.75" customHeight="1" x14ac:dyDescent="0.2">
      <c r="A14" s="34"/>
      <c r="F14" s="78"/>
      <c r="G14" s="75"/>
      <c r="H14" s="75"/>
      <c r="I14" s="79"/>
      <c r="J14" s="48"/>
      <c r="K14" s="49"/>
      <c r="L14" s="460"/>
      <c r="M14" s="487" t="str">
        <f>Présentation!G21</f>
        <v>Incomplet</v>
      </c>
      <c r="N14" s="476">
        <f>IFERROR(COUNTIFS($G$27:$G$60,M14),0)</f>
        <v>0</v>
      </c>
      <c r="O14" s="476">
        <f>IF($G$25=M14,$P$12,0)</f>
        <v>0</v>
      </c>
      <c r="P14" s="460"/>
      <c r="Q14" s="487" t="s">
        <v>85</v>
      </c>
      <c r="R14" s="476">
        <f>Présentation!$M$21</f>
        <v>3</v>
      </c>
      <c r="S14" s="476">
        <f>IFERROR(COUNTIFS(Exigences!$AN:$AN,'Résultats Globaux'!$R14),0)</f>
        <v>0</v>
      </c>
      <c r="T14" s="473"/>
      <c r="U14" s="460"/>
      <c r="V14" s="460">
        <f>V12-V13</f>
        <v>0</v>
      </c>
      <c r="W14" s="460"/>
      <c r="X14" s="460"/>
      <c r="Y14" s="460"/>
      <c r="Z14" s="460"/>
    </row>
    <row r="15" spans="1:40" s="28" customFormat="1" ht="33.75" customHeight="1" x14ac:dyDescent="0.2">
      <c r="A15" s="34"/>
      <c r="B15" s="738"/>
      <c r="C15" s="739"/>
      <c r="D15" s="739"/>
      <c r="E15" s="740"/>
      <c r="F15" s="75"/>
      <c r="G15" s="75"/>
      <c r="H15" s="75"/>
      <c r="I15" s="79"/>
      <c r="J15" s="48"/>
      <c r="K15" s="49"/>
      <c r="L15" s="460"/>
      <c r="M15" s="487" t="str">
        <f>Présentation!G22</f>
        <v>Satisfaisant</v>
      </c>
      <c r="N15" s="476">
        <f>IFERROR(COUNTIFS($G$27:$G$60,M15),0)</f>
        <v>0</v>
      </c>
      <c r="O15" s="476">
        <f>IF($G$25=M15,$P$12,0)</f>
        <v>0</v>
      </c>
      <c r="P15" s="460"/>
      <c r="Q15" s="487" t="s">
        <v>86</v>
      </c>
      <c r="R15" s="476">
        <f>Présentation!$M$22</f>
        <v>4</v>
      </c>
      <c r="S15" s="476">
        <f>IFERROR(COUNTIFS(Exigences!$AN:$AN,'Résultats Globaux'!$R15),0)</f>
        <v>0</v>
      </c>
      <c r="T15" s="460"/>
      <c r="U15" s="460"/>
      <c r="V15" s="460"/>
      <c r="W15" s="460"/>
      <c r="X15" s="460"/>
      <c r="Y15" s="460"/>
      <c r="Z15" s="460"/>
    </row>
    <row r="16" spans="1:40" s="28" customFormat="1" ht="33.75" customHeight="1" x14ac:dyDescent="0.2">
      <c r="A16" s="34"/>
      <c r="B16" s="710"/>
      <c r="C16" s="711"/>
      <c r="D16" s="711"/>
      <c r="E16" s="711"/>
      <c r="F16" s="78"/>
      <c r="G16" s="75"/>
      <c r="H16" s="75"/>
      <c r="I16" s="79"/>
      <c r="J16" s="48"/>
      <c r="K16" s="49"/>
      <c r="L16" s="460"/>
      <c r="M16" s="487" t="str">
        <f>Présentation!G23</f>
        <v>Total</v>
      </c>
      <c r="N16" s="476">
        <f>IFERROR(COUNTIFS($G$27:$G$60,M16),0)</f>
        <v>0</v>
      </c>
      <c r="O16" s="476">
        <f>IF($G$25=M16,$P$12,0)</f>
        <v>0</v>
      </c>
      <c r="P16" s="460"/>
      <c r="Q16" s="487" t="s">
        <v>87</v>
      </c>
      <c r="R16" s="476">
        <f>Présentation!$M$23</f>
        <v>5</v>
      </c>
      <c r="S16" s="476">
        <f>IFERROR(COUNTIFS(Exigences!$AN:$AN,'Résultats Globaux'!$R16),0)</f>
        <v>0</v>
      </c>
      <c r="T16" s="460"/>
      <c r="U16" s="460"/>
      <c r="V16" s="460"/>
      <c r="W16" s="460"/>
      <c r="X16" s="460"/>
      <c r="Y16" s="460"/>
      <c r="Z16" s="460"/>
    </row>
    <row r="17" spans="1:45" s="28" customFormat="1" ht="15.75" customHeight="1" x14ac:dyDescent="0.2">
      <c r="A17" s="34"/>
      <c r="B17" s="738" t="str">
        <f>CONCATENATE("Attention : ",$S$17," exigences ne sont pas applicables")</f>
        <v>Attention : 0 exigences ne sont pas applicables</v>
      </c>
      <c r="C17" s="739"/>
      <c r="D17" s="739"/>
      <c r="E17" s="740"/>
      <c r="F17" s="78"/>
      <c r="G17" s="75"/>
      <c r="H17" s="75"/>
      <c r="I17" s="79"/>
      <c r="J17" s="48"/>
      <c r="K17" s="49"/>
      <c r="L17" s="460"/>
      <c r="M17" s="460"/>
      <c r="N17" s="476"/>
      <c r="O17" s="475"/>
      <c r="P17" s="475"/>
      <c r="Q17" s="478" t="s">
        <v>245</v>
      </c>
      <c r="R17" s="476">
        <f>Présentation!$M$24</f>
        <v>6</v>
      </c>
      <c r="S17" s="476">
        <f>IFERROR(COUNTIFS(Exigences!$AN:$AN,'Résultats Globaux'!$R17),0)</f>
        <v>0</v>
      </c>
      <c r="T17" s="460"/>
      <c r="U17" s="460"/>
      <c r="V17" s="460"/>
      <c r="W17" s="460"/>
      <c r="X17" s="460"/>
      <c r="Y17" s="460"/>
      <c r="Z17" s="460"/>
    </row>
    <row r="18" spans="1:45" s="28" customFormat="1" ht="15.75" customHeight="1" x14ac:dyDescent="0.2">
      <c r="A18" s="34"/>
      <c r="B18" s="738" t="str">
        <f>IF($S$12&lt;$U$12,CONCATENATE("Attention : ",$T$12," Exigences ne sont pas encore traités"),"")</f>
        <v>Attention : 118 Exigences ne sont pas encore traités</v>
      </c>
      <c r="C18" s="739"/>
      <c r="D18" s="739"/>
      <c r="E18" s="740"/>
      <c r="F18" s="78"/>
      <c r="G18" s="75"/>
      <c r="H18" s="75"/>
      <c r="I18" s="79"/>
      <c r="J18" s="48"/>
      <c r="K18" s="49"/>
      <c r="L18" s="460"/>
      <c r="T18" s="478"/>
      <c r="U18" s="479"/>
      <c r="V18" s="460"/>
      <c r="W18" s="460"/>
      <c r="X18" s="460"/>
      <c r="Y18" s="460"/>
      <c r="Z18" s="460"/>
      <c r="AA18" s="460"/>
      <c r="AB18" s="460"/>
    </row>
    <row r="19" spans="1:45" s="28" customFormat="1" ht="33.75" customHeight="1" x14ac:dyDescent="0.2">
      <c r="A19" s="34"/>
      <c r="B19" s="236"/>
      <c r="C19" s="157"/>
      <c r="D19" s="157"/>
      <c r="E19" s="157"/>
      <c r="F19" s="78"/>
      <c r="G19" s="75"/>
      <c r="H19" s="75"/>
      <c r="I19" s="79"/>
      <c r="J19" s="48"/>
      <c r="K19" s="49"/>
      <c r="L19" s="460"/>
      <c r="M19" s="460"/>
      <c r="N19" s="473"/>
      <c r="O19" s="460"/>
      <c r="P19" s="460"/>
      <c r="Q19" s="460"/>
      <c r="R19" s="460"/>
      <c r="S19" s="460"/>
      <c r="T19" s="460"/>
      <c r="U19" s="460"/>
      <c r="V19" s="460"/>
      <c r="W19" s="460"/>
      <c r="X19" s="460"/>
      <c r="Y19" s="460"/>
      <c r="Z19" s="460"/>
      <c r="AA19" s="460"/>
      <c r="AB19" s="460"/>
    </row>
    <row r="20" spans="1:45" s="28" customFormat="1" ht="20.100000000000001" customHeight="1" x14ac:dyDescent="0.2">
      <c r="A20" s="34"/>
      <c r="B20" s="237"/>
      <c r="C20" s="158"/>
      <c r="D20" s="159"/>
      <c r="E20" s="160"/>
      <c r="F20" s="80"/>
      <c r="G20" s="81"/>
      <c r="H20" s="82"/>
      <c r="I20" s="83"/>
      <c r="J20" s="48"/>
      <c r="K20" s="49"/>
      <c r="L20" s="460"/>
      <c r="M20" s="460"/>
      <c r="N20" s="473"/>
      <c r="O20" s="460"/>
      <c r="P20" s="460"/>
      <c r="Q20" s="460"/>
      <c r="R20" s="460"/>
      <c r="S20" s="460"/>
      <c r="T20" s="460"/>
      <c r="U20" s="460"/>
      <c r="V20" s="460"/>
      <c r="W20" s="460"/>
      <c r="X20" s="460"/>
      <c r="Y20" s="460"/>
      <c r="Z20" s="460"/>
      <c r="AA20" s="460"/>
      <c r="AB20" s="460"/>
    </row>
    <row r="21" spans="1:45" s="50" customFormat="1" ht="5.0999999999999996" customHeight="1" x14ac:dyDescent="0.2">
      <c r="A21" s="56"/>
      <c r="B21" s="235"/>
      <c r="C21" s="72"/>
      <c r="D21" s="72"/>
      <c r="E21" s="72"/>
      <c r="F21" s="71"/>
      <c r="G21" s="71"/>
      <c r="H21" s="72"/>
      <c r="I21" s="73"/>
      <c r="J21" s="48"/>
      <c r="K21" s="49"/>
      <c r="L21" s="460"/>
      <c r="M21" s="460"/>
      <c r="N21" s="476"/>
      <c r="O21" s="476"/>
      <c r="P21" s="476"/>
      <c r="Q21" s="476"/>
      <c r="R21" s="476"/>
      <c r="S21" s="476"/>
      <c r="T21" s="476"/>
      <c r="U21" s="476"/>
      <c r="V21" s="460"/>
      <c r="W21" s="460"/>
      <c r="X21" s="460"/>
      <c r="Y21" s="460"/>
      <c r="Z21" s="460"/>
      <c r="AA21" s="460"/>
      <c r="AB21" s="460"/>
      <c r="AC21" s="28"/>
      <c r="AD21" s="28"/>
      <c r="AE21" s="28"/>
      <c r="AF21" s="28"/>
      <c r="AG21" s="28"/>
      <c r="AH21" s="28"/>
      <c r="AI21" s="28"/>
      <c r="AJ21" s="28"/>
      <c r="AK21" s="28"/>
      <c r="AL21" s="28"/>
      <c r="AM21" s="28"/>
      <c r="AN21" s="28"/>
    </row>
    <row r="22" spans="1:45" s="28" customFormat="1" ht="8.1" customHeight="1" x14ac:dyDescent="0.2">
      <c r="A22" s="34"/>
      <c r="B22" s="238"/>
      <c r="C22" s="84"/>
      <c r="D22" s="84"/>
      <c r="E22" s="84"/>
      <c r="F22" s="84"/>
      <c r="G22" s="85"/>
      <c r="H22" s="85"/>
      <c r="I22" s="85"/>
      <c r="J22" s="48"/>
      <c r="K22" s="49"/>
      <c r="L22" s="460"/>
      <c r="M22" s="480"/>
      <c r="N22" s="473"/>
      <c r="O22" s="460"/>
      <c r="P22" s="460"/>
      <c r="Q22" s="460"/>
      <c r="R22" s="460"/>
      <c r="S22" s="460"/>
      <c r="T22" s="460"/>
      <c r="U22" s="460"/>
      <c r="V22" s="460"/>
      <c r="W22" s="460"/>
      <c r="X22" s="460"/>
      <c r="Y22" s="460"/>
      <c r="Z22" s="460"/>
      <c r="AA22" s="460"/>
      <c r="AB22" s="460"/>
    </row>
    <row r="23" spans="1:45" s="50" customFormat="1" ht="21.75" customHeight="1" x14ac:dyDescent="0.2">
      <c r="A23" s="56"/>
      <c r="B23" s="712" t="s">
        <v>323</v>
      </c>
      <c r="C23" s="713"/>
      <c r="D23" s="713"/>
      <c r="E23" s="713"/>
      <c r="F23" s="713"/>
      <c r="G23" s="713"/>
      <c r="H23" s="713"/>
      <c r="I23" s="713"/>
      <c r="J23" s="48"/>
      <c r="K23" s="86"/>
      <c r="L23" s="476"/>
      <c r="N23" s="477"/>
      <c r="O23" s="477"/>
      <c r="P23" s="480"/>
      <c r="Q23" s="480"/>
      <c r="R23" s="480"/>
      <c r="S23" s="480"/>
      <c r="T23" s="481"/>
      <c r="U23" s="479"/>
      <c r="V23" s="476"/>
      <c r="W23" s="460"/>
      <c r="X23" s="460"/>
      <c r="Y23" s="460"/>
      <c r="Z23" s="460"/>
      <c r="AA23" s="460"/>
      <c r="AB23" s="460"/>
      <c r="AC23" s="28"/>
      <c r="AD23" s="28"/>
      <c r="AE23" s="28"/>
      <c r="AF23" s="28"/>
      <c r="AG23" s="28"/>
      <c r="AH23" s="28"/>
      <c r="AI23" s="28"/>
      <c r="AJ23" s="28"/>
      <c r="AK23" s="28"/>
      <c r="AL23" s="28"/>
      <c r="AM23" s="28"/>
      <c r="AN23" s="28"/>
    </row>
    <row r="24" spans="1:45" s="28" customFormat="1" ht="10.5" customHeight="1" x14ac:dyDescent="0.2">
      <c r="A24" s="74"/>
      <c r="B24" s="239"/>
      <c r="C24" s="87"/>
      <c r="D24" s="87"/>
      <c r="E24" s="88"/>
      <c r="F24" s="88"/>
      <c r="G24" s="89" t="s">
        <v>1</v>
      </c>
      <c r="H24" s="89" t="s">
        <v>2</v>
      </c>
      <c r="I24" s="89" t="s">
        <v>71</v>
      </c>
      <c r="J24" s="48"/>
      <c r="K24" s="49"/>
      <c r="L24" s="460"/>
      <c r="M24" s="488"/>
      <c r="N24" s="477"/>
      <c r="O24" s="480"/>
      <c r="P24" s="480"/>
      <c r="Q24" s="480"/>
      <c r="R24" s="480"/>
      <c r="S24" s="480"/>
      <c r="T24" s="489"/>
      <c r="U24" s="490"/>
      <c r="V24" s="491"/>
      <c r="W24" s="492"/>
      <c r="X24" s="492"/>
      <c r="Y24" s="492"/>
      <c r="Z24" s="492"/>
      <c r="AA24" s="492"/>
      <c r="AB24" s="475"/>
      <c r="AC24" s="90"/>
      <c r="AD24" s="90"/>
      <c r="AE24" s="90"/>
      <c r="AF24" s="90"/>
      <c r="AG24" s="90"/>
      <c r="AH24" s="90"/>
      <c r="AI24" s="90"/>
      <c r="AJ24" s="90"/>
      <c r="AK24" s="90"/>
      <c r="AL24" s="90"/>
      <c r="AM24" s="90"/>
      <c r="AN24" s="90"/>
      <c r="AO24" s="90"/>
      <c r="AP24" s="90"/>
      <c r="AQ24" s="90"/>
      <c r="AR24" s="90"/>
      <c r="AS24" s="90"/>
    </row>
    <row r="25" spans="1:45" s="28" customFormat="1" ht="12" customHeight="1" x14ac:dyDescent="0.2">
      <c r="A25" s="34"/>
      <c r="B25" s="244" t="s">
        <v>241</v>
      </c>
      <c r="C25" s="245"/>
      <c r="D25" s="245"/>
      <c r="E25" s="246"/>
      <c r="F25" s="246"/>
      <c r="G25" s="247" t="str">
        <f>IFERROR(IF(H25=Présentation!$D$24,Présentation!$H$24,IF(H25&lt;=Présentation!$F$20,Présentation!$G$20,IF(H25&lt;=Présentation!$F$21,Présentation!$G$21,IF(H25&lt;=Présentation!$F$22,Présentation!$G$22,Présentation!$G$23)))),"")</f>
        <v>Niveau non applicable</v>
      </c>
      <c r="H25" s="247">
        <f>SUM(Y27:Y57)</f>
        <v>0</v>
      </c>
      <c r="I25" s="248" t="str">
        <f>IF(G25=Présentation!H24,"Niveau NA",PROPER(MID(Exigences!#REF!,1,9)))</f>
        <v>Niveau NA</v>
      </c>
      <c r="J25" s="48"/>
      <c r="K25" s="49"/>
      <c r="L25" s="460"/>
      <c r="M25" s="479"/>
      <c r="N25" s="479"/>
      <c r="O25" s="479"/>
      <c r="P25" s="479"/>
      <c r="Q25" s="479"/>
      <c r="R25" s="479"/>
      <c r="S25" s="479"/>
      <c r="T25" s="479"/>
      <c r="U25" s="479"/>
      <c r="V25" s="479"/>
      <c r="W25" s="479"/>
      <c r="X25" s="479"/>
      <c r="Y25" s="479"/>
      <c r="Z25" s="479"/>
      <c r="AA25" s="492"/>
      <c r="AB25" s="475"/>
      <c r="AC25" s="90"/>
      <c r="AD25" s="90"/>
      <c r="AE25" s="90"/>
      <c r="AF25" s="90"/>
      <c r="AG25" s="90"/>
      <c r="AH25" s="90"/>
      <c r="AI25" s="90"/>
      <c r="AJ25" s="90"/>
      <c r="AK25" s="90"/>
      <c r="AL25" s="90"/>
      <c r="AM25" s="90"/>
      <c r="AN25" s="90"/>
      <c r="AO25" s="90"/>
      <c r="AP25" s="90"/>
      <c r="AQ25" s="90"/>
      <c r="AR25" s="90"/>
      <c r="AS25" s="90"/>
    </row>
    <row r="26" spans="1:45" s="28" customFormat="1" ht="9.6" customHeight="1" x14ac:dyDescent="0.2">
      <c r="A26" s="34"/>
      <c r="B26" s="217">
        <f>Exigences!C11</f>
        <v>4</v>
      </c>
      <c r="C26" s="91" t="str">
        <f>Exigences!D11</f>
        <v>Contexte de l'organisme</v>
      </c>
      <c r="D26" s="91"/>
      <c r="E26" s="91"/>
      <c r="F26" s="92"/>
      <c r="G26" s="92" t="str">
        <f>Exigences!Y11</f>
        <v>Niveau non applicable</v>
      </c>
      <c r="H26" s="92">
        <f>IF(Exigences!Z11="NA",0,Exigences!Z11)</f>
        <v>0</v>
      </c>
      <c r="I26" s="93" t="str">
        <f>IF(G26=Présentation!H24,"Niveau NA",PROPER(MID(Exigences!Y11,1,9)))</f>
        <v>Niveau NA</v>
      </c>
      <c r="J26" s="48"/>
      <c r="K26" s="49"/>
      <c r="L26" s="460"/>
      <c r="M26" s="479"/>
      <c r="N26" s="479"/>
      <c r="O26" s="479"/>
      <c r="P26" s="479"/>
      <c r="Q26" s="479"/>
      <c r="R26" s="479"/>
      <c r="S26" s="479"/>
      <c r="T26" s="479"/>
      <c r="U26" s="479"/>
      <c r="V26" s="479"/>
      <c r="W26" s="479"/>
      <c r="X26" s="479"/>
      <c r="Y26" s="479"/>
      <c r="Z26" s="479"/>
      <c r="AA26" s="492"/>
      <c r="AB26" s="475"/>
      <c r="AC26" s="90"/>
      <c r="AD26" s="90"/>
      <c r="AE26" s="90"/>
      <c r="AF26" s="90"/>
      <c r="AG26" s="90"/>
      <c r="AH26" s="90"/>
      <c r="AI26" s="90"/>
      <c r="AJ26" s="90"/>
      <c r="AK26" s="90"/>
      <c r="AL26" s="90"/>
      <c r="AM26" s="90"/>
      <c r="AN26" s="90"/>
      <c r="AO26" s="90"/>
      <c r="AP26" s="90"/>
      <c r="AQ26" s="90"/>
      <c r="AR26" s="90"/>
      <c r="AS26" s="90"/>
    </row>
    <row r="27" spans="1:45" s="28" customFormat="1" ht="9.6" customHeight="1" x14ac:dyDescent="0.2">
      <c r="A27" s="34"/>
      <c r="B27" s="240"/>
      <c r="C27" s="94" t="str">
        <f>Exigences!C12</f>
        <v>4.1</v>
      </c>
      <c r="D27" s="95" t="str">
        <f>VLOOKUP($C27,Exigences!$C$11:$D$163,2,FALSE)</f>
        <v>Compréhension de l’organisme et de son contexte</v>
      </c>
      <c r="E27" s="95"/>
      <c r="F27" s="95"/>
      <c r="G27" s="96" t="str">
        <f>Exigences!Y12</f>
        <v>Niveau non applicable</v>
      </c>
      <c r="H27" s="96">
        <f>IF(Exigences!Z12="NA",0,Exigences!Z12)</f>
        <v>0</v>
      </c>
      <c r="I27" s="97" t="str">
        <f>IF(G27=Présentation!$H$24,"Niveau NA",PROPER(MID(Exigences!Y12,1,9)))</f>
        <v>Niveau NA</v>
      </c>
      <c r="J27" s="48"/>
      <c r="K27" s="98"/>
      <c r="M27" s="479"/>
      <c r="N27" s="479"/>
      <c r="O27" s="479"/>
      <c r="P27" s="479"/>
      <c r="Q27" s="479"/>
      <c r="R27" s="479"/>
      <c r="S27" s="479"/>
      <c r="T27" s="479"/>
      <c r="U27" s="479"/>
      <c r="V27" s="479"/>
      <c r="W27" s="493">
        <f>IF(G26="Niveau non applicable",1,0)</f>
        <v>1</v>
      </c>
      <c r="X27" s="479">
        <f>IF(G26="Niveau non applicable",0,1/COUNTIF($W$27:$W$57,"=0"))</f>
        <v>0</v>
      </c>
      <c r="Y27" s="479">
        <f>H26*X27</f>
        <v>0</v>
      </c>
      <c r="Z27" s="479"/>
      <c r="AA27" s="492"/>
      <c r="AB27" s="475"/>
      <c r="AC27" s="90"/>
      <c r="AD27" s="90"/>
      <c r="AE27" s="90"/>
      <c r="AF27" s="90"/>
      <c r="AG27" s="90"/>
      <c r="AH27" s="90"/>
      <c r="AI27" s="90"/>
      <c r="AJ27" s="90"/>
      <c r="AK27" s="90"/>
      <c r="AL27" s="90"/>
      <c r="AM27" s="90"/>
      <c r="AN27" s="90"/>
      <c r="AO27" s="90"/>
      <c r="AP27" s="90"/>
      <c r="AQ27" s="90"/>
      <c r="AR27" s="90"/>
      <c r="AS27" s="90"/>
    </row>
    <row r="28" spans="1:45" s="28" customFormat="1" ht="9.6" customHeight="1" x14ac:dyDescent="0.2">
      <c r="A28" s="34"/>
      <c r="B28" s="240"/>
      <c r="C28" s="215" t="str">
        <f>Exigences!C15</f>
        <v>4.2</v>
      </c>
      <c r="D28" s="95" t="str">
        <f>VLOOKUP($C28,Exigences!$C$11:$D$163,2,FALSE)</f>
        <v>Compréhension des besoins et des attentes des parties intéressées</v>
      </c>
      <c r="E28" s="99"/>
      <c r="F28" s="99"/>
      <c r="G28" s="96" t="str">
        <f>Exigences!Y15</f>
        <v>Niveau non applicable</v>
      </c>
      <c r="H28" s="96">
        <f>IF(Exigences!Z15="NA",0,Exigences!Z15)</f>
        <v>0</v>
      </c>
      <c r="I28" s="97" t="str">
        <f>IF(G28=Présentation!$H$24,"Niveau NA",PROPER(MID(Exigences!Y15,1,9)))</f>
        <v>Niveau NA</v>
      </c>
      <c r="J28" s="48"/>
      <c r="K28" s="98"/>
      <c r="M28" s="479"/>
      <c r="N28" s="479"/>
      <c r="O28" s="479"/>
      <c r="P28" s="479"/>
      <c r="Q28" s="479"/>
      <c r="R28" s="479"/>
      <c r="S28" s="479"/>
      <c r="T28" s="479"/>
      <c r="U28" s="479"/>
      <c r="V28" s="479"/>
      <c r="W28" s="493"/>
      <c r="X28" s="479"/>
      <c r="Y28" s="479"/>
      <c r="Z28" s="479"/>
      <c r="AA28" s="492"/>
      <c r="AB28" s="475"/>
      <c r="AC28" s="90"/>
      <c r="AD28" s="90"/>
      <c r="AE28" s="90"/>
      <c r="AF28" s="90"/>
      <c r="AG28" s="90"/>
      <c r="AH28" s="90"/>
      <c r="AI28" s="90"/>
      <c r="AJ28" s="90"/>
      <c r="AK28" s="90"/>
      <c r="AL28" s="90"/>
      <c r="AM28" s="90"/>
      <c r="AN28" s="90"/>
      <c r="AO28" s="90"/>
      <c r="AP28" s="90"/>
      <c r="AQ28" s="90"/>
      <c r="AR28" s="90"/>
      <c r="AS28" s="90"/>
    </row>
    <row r="29" spans="1:45" s="28" customFormat="1" ht="9.6" customHeight="1" x14ac:dyDescent="0.2">
      <c r="A29" s="34"/>
      <c r="B29" s="240"/>
      <c r="C29" s="215" t="str">
        <f>Exigences!C19</f>
        <v>4.3</v>
      </c>
      <c r="D29" s="95" t="str">
        <f>VLOOKUP($C29,Exigences!$C$11:$D$163,2,FALSE)</f>
        <v>Détermination du domaine d’application du système de management de la qualité</v>
      </c>
      <c r="E29" s="99"/>
      <c r="F29" s="99"/>
      <c r="G29" s="96" t="str">
        <f>Exigences!Y19</f>
        <v>Niveau non applicable</v>
      </c>
      <c r="H29" s="96">
        <f>IF(Exigences!Z19="NA",0,Exigences!Z19)</f>
        <v>0</v>
      </c>
      <c r="I29" s="97" t="str">
        <f>IF(G29=Présentation!$H$24,"Niveau NA",PROPER(MID(Exigences!Y19,1,9)))</f>
        <v>Niveau NA</v>
      </c>
      <c r="J29" s="48"/>
      <c r="K29" s="98"/>
      <c r="M29" s="479"/>
      <c r="N29" s="479"/>
      <c r="O29" s="479"/>
      <c r="P29" s="479"/>
      <c r="Q29" s="479"/>
      <c r="R29" s="479"/>
      <c r="S29" s="479"/>
      <c r="T29" s="479"/>
      <c r="U29" s="479"/>
      <c r="V29" s="479"/>
      <c r="W29" s="493"/>
      <c r="X29" s="479"/>
      <c r="Y29" s="479"/>
      <c r="Z29" s="479"/>
      <c r="AA29" s="492"/>
      <c r="AB29" s="475"/>
      <c r="AC29" s="90"/>
      <c r="AD29" s="90"/>
      <c r="AE29" s="90"/>
      <c r="AF29" s="90"/>
      <c r="AG29" s="90"/>
      <c r="AH29" s="90"/>
      <c r="AI29" s="90"/>
      <c r="AJ29" s="90"/>
      <c r="AK29" s="90"/>
      <c r="AL29" s="90"/>
      <c r="AM29" s="90"/>
      <c r="AN29" s="90"/>
      <c r="AO29" s="90"/>
      <c r="AP29" s="90"/>
      <c r="AQ29" s="90"/>
      <c r="AR29" s="90"/>
      <c r="AS29" s="90"/>
    </row>
    <row r="30" spans="1:45" s="28" customFormat="1" ht="9.6" customHeight="1" x14ac:dyDescent="0.2">
      <c r="A30" s="34"/>
      <c r="B30" s="241"/>
      <c r="C30" s="216" t="str">
        <f>Exigences!C22</f>
        <v>4.4</v>
      </c>
      <c r="D30" s="95" t="str">
        <f>VLOOKUP($C30,Exigences!$C$11:$D$163,2,FALSE)</f>
        <v>Système de management de la qualité et ses processus</v>
      </c>
      <c r="E30" s="100"/>
      <c r="F30" s="100"/>
      <c r="G30" s="101" t="str">
        <f>Exigences!Y22</f>
        <v>Niveau non applicable</v>
      </c>
      <c r="H30" s="96">
        <f>IF(Exigences!Z22="NA",0,Exigences!Z22)</f>
        <v>0</v>
      </c>
      <c r="I30" s="97" t="str">
        <f>IF(G30=Présentation!$H$24,"Niveau NA",PROPER(MID(Exigences!Y22,1,9)))</f>
        <v>Niveau NA</v>
      </c>
      <c r="J30" s="48"/>
      <c r="K30" s="98"/>
      <c r="M30" s="479"/>
      <c r="N30" s="479"/>
      <c r="O30" s="479"/>
      <c r="P30" s="479"/>
      <c r="Q30" s="479"/>
      <c r="R30" s="479"/>
      <c r="S30" s="479"/>
      <c r="T30" s="479"/>
      <c r="U30" s="479"/>
      <c r="V30" s="479"/>
      <c r="W30" s="493"/>
      <c r="X30" s="479"/>
      <c r="Y30" s="479"/>
      <c r="Z30" s="479"/>
      <c r="AA30" s="492"/>
      <c r="AB30" s="475"/>
      <c r="AC30" s="90"/>
      <c r="AD30" s="90"/>
      <c r="AE30" s="90"/>
      <c r="AF30" s="90"/>
      <c r="AG30" s="90"/>
      <c r="AH30" s="90"/>
      <c r="AI30" s="90"/>
      <c r="AJ30" s="90"/>
      <c r="AK30" s="90"/>
      <c r="AL30" s="90"/>
      <c r="AM30" s="90"/>
      <c r="AN30" s="90"/>
      <c r="AO30" s="90"/>
      <c r="AP30" s="90"/>
      <c r="AQ30" s="90"/>
      <c r="AR30" s="90"/>
      <c r="AS30" s="90"/>
    </row>
    <row r="31" spans="1:45" s="28" customFormat="1" ht="9.6" customHeight="1" x14ac:dyDescent="0.2">
      <c r="A31" s="34"/>
      <c r="B31" s="218">
        <f>Exigences!C28</f>
        <v>5</v>
      </c>
      <c r="C31" s="102" t="str">
        <f>Exigences!D28</f>
        <v>Leadership</v>
      </c>
      <c r="D31" s="102"/>
      <c r="E31" s="102"/>
      <c r="F31" s="103"/>
      <c r="G31" s="349" t="str">
        <f>Exigences!Y28</f>
        <v>Niveau non applicable</v>
      </c>
      <c r="H31" s="103">
        <f>IF(Exigences!Z28="NA",0,Exigences!Z28)</f>
        <v>0</v>
      </c>
      <c r="I31" s="104" t="str">
        <f>IF(G31=Présentation!$H$24,"Niveau NA",PROPER(MID(Exigences!Y28,1,9)))</f>
        <v>Niveau NA</v>
      </c>
      <c r="J31" s="48"/>
      <c r="K31" s="98"/>
      <c r="M31" s="479"/>
      <c r="N31" s="479"/>
      <c r="O31" s="479"/>
      <c r="P31" s="479"/>
      <c r="Q31" s="479"/>
      <c r="R31" s="479"/>
      <c r="S31" s="479"/>
      <c r="T31" s="479"/>
      <c r="U31" s="479"/>
      <c r="V31" s="479"/>
      <c r="W31" s="493">
        <f>IF(G31="Niveau non applicable",1,0)</f>
        <v>1</v>
      </c>
      <c r="X31" s="479">
        <f>IF(G31="Niveau non applicable",0,1/COUNTIF($W$27:$W$57,"=0"))</f>
        <v>0</v>
      </c>
      <c r="Y31" s="479">
        <f>H31*X31</f>
        <v>0</v>
      </c>
      <c r="Z31" s="479"/>
      <c r="AA31" s="492"/>
      <c r="AB31" s="475"/>
      <c r="AC31" s="90"/>
      <c r="AD31" s="90"/>
      <c r="AE31" s="90"/>
      <c r="AF31" s="90"/>
      <c r="AG31" s="90"/>
      <c r="AH31" s="90"/>
      <c r="AI31" s="90"/>
      <c r="AJ31" s="90"/>
      <c r="AK31" s="90"/>
      <c r="AL31" s="90"/>
      <c r="AM31" s="90"/>
      <c r="AN31" s="90"/>
      <c r="AO31" s="90"/>
      <c r="AP31" s="90"/>
      <c r="AQ31" s="90"/>
      <c r="AR31" s="90"/>
      <c r="AS31" s="90"/>
    </row>
    <row r="32" spans="1:45" s="28" customFormat="1" ht="9.6" customHeight="1" x14ac:dyDescent="0.2">
      <c r="A32" s="34"/>
      <c r="B32" s="240"/>
      <c r="C32" s="94" t="str">
        <f>Exigences!C29</f>
        <v>5.1</v>
      </c>
      <c r="D32" s="95" t="str">
        <f>VLOOKUP($C32,Exigences!$C$11:$D$163,2,FALSE)</f>
        <v>Leadership et Engagement</v>
      </c>
      <c r="E32" s="99"/>
      <c r="F32" s="99"/>
      <c r="G32" s="105" t="str">
        <f>Exigences!Y29</f>
        <v>Niveau non applicable</v>
      </c>
      <c r="H32" s="105">
        <f>IF(Exigences!Z29="NA",0,Exigences!Z29)</f>
        <v>0</v>
      </c>
      <c r="I32" s="97" t="str">
        <f>IF(G32=Présentation!$H$24,"Niveau NA",PROPER(MID(Exigences!Y29,1,9)))</f>
        <v>Niveau NA</v>
      </c>
      <c r="J32" s="48"/>
      <c r="K32" s="98"/>
      <c r="M32" s="479"/>
      <c r="N32" s="479"/>
      <c r="O32" s="479"/>
      <c r="P32" s="479"/>
      <c r="Q32" s="479"/>
      <c r="R32" s="479"/>
      <c r="S32" s="479"/>
      <c r="T32" s="479"/>
      <c r="U32" s="479"/>
      <c r="V32" s="479"/>
      <c r="W32" s="493"/>
      <c r="X32" s="479"/>
      <c r="Y32" s="479"/>
      <c r="Z32" s="479"/>
      <c r="AA32" s="492"/>
      <c r="AB32" s="475"/>
      <c r="AC32" s="90"/>
      <c r="AD32" s="90"/>
      <c r="AE32" s="90"/>
      <c r="AF32" s="90"/>
      <c r="AG32" s="90"/>
      <c r="AH32" s="90"/>
      <c r="AI32" s="90"/>
      <c r="AJ32" s="90"/>
      <c r="AK32" s="90"/>
      <c r="AL32" s="90"/>
      <c r="AM32" s="90"/>
      <c r="AN32" s="90"/>
      <c r="AO32" s="90"/>
      <c r="AP32" s="90"/>
      <c r="AQ32" s="90"/>
      <c r="AR32" s="90"/>
      <c r="AS32" s="90"/>
    </row>
    <row r="33" spans="1:45" s="28" customFormat="1" ht="9.6" customHeight="1" x14ac:dyDescent="0.2">
      <c r="A33" s="34"/>
      <c r="B33" s="240"/>
      <c r="C33" s="94" t="str">
        <f>Exigences!C37</f>
        <v>5.2</v>
      </c>
      <c r="D33" s="95" t="str">
        <f>VLOOKUP($C33,Exigences!$C$11:$D$163,2,FALSE)</f>
        <v>Politique</v>
      </c>
      <c r="E33" s="99"/>
      <c r="F33" s="99"/>
      <c r="G33" s="105" t="str">
        <f>Exigences!Y37</f>
        <v>Niveau non applicable</v>
      </c>
      <c r="H33" s="105">
        <f>IF(Exigences!Z37="NA",0,Exigences!Z37)</f>
        <v>0</v>
      </c>
      <c r="I33" s="97" t="str">
        <f>IF(G33=Présentation!$H$24,"Niveau NA",PROPER(MID(Exigences!Y37,1,9)))</f>
        <v>Niveau NA</v>
      </c>
      <c r="J33" s="48"/>
      <c r="K33" s="98"/>
      <c r="M33" s="479"/>
      <c r="N33" s="479"/>
      <c r="O33" s="479"/>
      <c r="P33" s="479"/>
      <c r="Q33" s="479"/>
      <c r="R33" s="479"/>
      <c r="S33" s="479"/>
      <c r="T33" s="479"/>
      <c r="U33" s="479"/>
      <c r="V33" s="479"/>
      <c r="W33" s="493"/>
      <c r="X33" s="479"/>
      <c r="Y33" s="479"/>
      <c r="Z33" s="479"/>
      <c r="AA33" s="494"/>
      <c r="AB33" s="484"/>
      <c r="AC33" s="106"/>
      <c r="AD33" s="106"/>
      <c r="AE33" s="106"/>
      <c r="AF33" s="106"/>
      <c r="AG33" s="106"/>
      <c r="AH33" s="106"/>
      <c r="AI33" s="106"/>
      <c r="AJ33" s="106"/>
      <c r="AK33" s="106"/>
      <c r="AL33" s="106"/>
      <c r="AM33" s="106"/>
      <c r="AN33" s="106"/>
      <c r="AO33" s="106"/>
      <c r="AP33" s="106"/>
      <c r="AQ33" s="106"/>
      <c r="AR33" s="106"/>
      <c r="AS33" s="106"/>
    </row>
    <row r="34" spans="1:45" s="28" customFormat="1" ht="9.6" customHeight="1" x14ac:dyDescent="0.2">
      <c r="A34" s="34"/>
      <c r="B34" s="240"/>
      <c r="C34" s="94" t="str">
        <f>Exigences!C42</f>
        <v>5.3</v>
      </c>
      <c r="D34" s="95" t="str">
        <f>VLOOKUP($C34,Exigences!$C$11:$D$163,2,FALSE)</f>
        <v>Rôles, responsabilités et autorités au sein de l'organisme</v>
      </c>
      <c r="E34" s="99"/>
      <c r="F34" s="99"/>
      <c r="G34" s="105" t="str">
        <f>Exigences!Y42</f>
        <v>Niveau non applicable</v>
      </c>
      <c r="H34" s="105">
        <f>IF(Exigences!Z42="NA",0,Exigences!Z42)</f>
        <v>0</v>
      </c>
      <c r="I34" s="97" t="str">
        <f>IF(G34=Présentation!$H$24,"Niveau NA",PROPER(MID(Exigences!Y42,1,9)))</f>
        <v>Niveau NA</v>
      </c>
      <c r="J34" s="48"/>
      <c r="K34" s="98"/>
      <c r="M34" s="479"/>
      <c r="N34" s="479"/>
      <c r="O34" s="479"/>
      <c r="P34" s="479"/>
      <c r="Q34" s="479"/>
      <c r="R34" s="479"/>
      <c r="S34" s="479"/>
      <c r="T34" s="479"/>
      <c r="U34" s="479"/>
      <c r="V34" s="479"/>
      <c r="W34" s="493"/>
      <c r="X34" s="479"/>
      <c r="Y34" s="479"/>
      <c r="Z34" s="479"/>
      <c r="AA34" s="492"/>
      <c r="AB34" s="475"/>
      <c r="AC34" s="90"/>
      <c r="AD34" s="90"/>
      <c r="AE34" s="90"/>
      <c r="AF34" s="90"/>
      <c r="AG34" s="90"/>
      <c r="AH34" s="90"/>
      <c r="AI34" s="90"/>
      <c r="AJ34" s="90"/>
      <c r="AK34" s="90"/>
      <c r="AL34" s="90"/>
      <c r="AM34" s="90"/>
      <c r="AN34" s="90"/>
      <c r="AO34" s="90"/>
      <c r="AP34" s="90"/>
      <c r="AQ34" s="90"/>
      <c r="AR34" s="90"/>
      <c r="AS34" s="90"/>
    </row>
    <row r="35" spans="1:45" s="28" customFormat="1" ht="9.6" customHeight="1" x14ac:dyDescent="0.2">
      <c r="A35" s="34"/>
      <c r="B35" s="293">
        <f>Exigences!C47</f>
        <v>6</v>
      </c>
      <c r="C35" s="294" t="str">
        <f>Exigences!D47</f>
        <v>Planification</v>
      </c>
      <c r="D35" s="294"/>
      <c r="E35" s="294"/>
      <c r="F35" s="295"/>
      <c r="G35" s="295" t="str">
        <f>Exigences!Y47</f>
        <v>Niveau non applicable</v>
      </c>
      <c r="H35" s="295">
        <f>IF(Exigences!Z47="NA",0,Exigences!Z47)</f>
        <v>0</v>
      </c>
      <c r="I35" s="296" t="str">
        <f>IF(G35=Présentation!$H$24,"Niveau NA",PROPER(MID(Exigences!Y47,1,9)))</f>
        <v>Niveau NA</v>
      </c>
      <c r="J35" s="48"/>
      <c r="K35" s="98"/>
      <c r="M35" s="479"/>
      <c r="N35" s="479"/>
      <c r="O35" s="479"/>
      <c r="P35" s="479"/>
      <c r="Q35" s="479"/>
      <c r="R35" s="479"/>
      <c r="S35" s="479"/>
      <c r="T35" s="479"/>
      <c r="U35" s="479"/>
      <c r="V35" s="479"/>
      <c r="W35" s="493">
        <f>IF(G35="Niveau non applicable",1,0)</f>
        <v>1</v>
      </c>
      <c r="X35" s="479">
        <f>IF(G35="Niveau non applicable",0,1/COUNTIF($W$27:$W$57,"=0"))</f>
        <v>0</v>
      </c>
      <c r="Y35" s="479">
        <f>H35*X35</f>
        <v>0</v>
      </c>
      <c r="Z35" s="479"/>
      <c r="AA35" s="492"/>
      <c r="AB35" s="475"/>
      <c r="AC35" s="90"/>
      <c r="AD35" s="90"/>
      <c r="AE35" s="90"/>
      <c r="AF35" s="90"/>
      <c r="AG35" s="90"/>
      <c r="AH35" s="90"/>
      <c r="AI35" s="90"/>
      <c r="AJ35" s="90"/>
      <c r="AK35" s="90"/>
      <c r="AL35" s="90"/>
      <c r="AM35" s="90"/>
      <c r="AN35" s="90"/>
      <c r="AO35" s="90"/>
      <c r="AP35" s="90"/>
      <c r="AQ35" s="90"/>
      <c r="AR35" s="90"/>
      <c r="AS35" s="90"/>
    </row>
    <row r="36" spans="1:45" s="28" customFormat="1" ht="9.6" customHeight="1" x14ac:dyDescent="0.2">
      <c r="A36" s="34"/>
      <c r="B36" s="240"/>
      <c r="C36" s="94" t="str">
        <f>Exigences!C48</f>
        <v>6.1</v>
      </c>
      <c r="D36" s="95" t="str">
        <f>VLOOKUP($C36,Exigences!$C$11:$D$163,2,FALSE)</f>
        <v>Actions à mettre en œuvre face aux risques et opportunités</v>
      </c>
      <c r="E36" s="95"/>
      <c r="F36" s="95"/>
      <c r="G36" s="96" t="str">
        <f>Exigences!Y48</f>
        <v>Niveau non applicable</v>
      </c>
      <c r="H36" s="96">
        <f>IF(Exigences!Z48="NA",0,Exigences!Z48)</f>
        <v>0</v>
      </c>
      <c r="I36" s="97" t="str">
        <f>IF(G36=Présentation!$H$24,"Niveau NA",PROPER(MID(Exigences!Y48,1,9)))</f>
        <v>Niveau NA</v>
      </c>
      <c r="J36" s="48"/>
      <c r="K36" s="98"/>
      <c r="M36" s="479"/>
      <c r="N36" s="479"/>
      <c r="O36" s="479"/>
      <c r="P36" s="479"/>
      <c r="Q36" s="479"/>
      <c r="R36" s="479"/>
      <c r="S36" s="479"/>
      <c r="T36" s="479"/>
      <c r="U36" s="479"/>
      <c r="V36" s="479"/>
      <c r="W36" s="493"/>
      <c r="X36" s="479"/>
      <c r="Y36" s="479"/>
      <c r="Z36" s="479"/>
      <c r="AA36" s="492"/>
      <c r="AB36" s="475"/>
      <c r="AC36" s="90"/>
      <c r="AD36" s="90"/>
      <c r="AE36" s="90"/>
      <c r="AF36" s="90"/>
      <c r="AG36" s="90"/>
      <c r="AH36" s="90"/>
      <c r="AI36" s="90"/>
      <c r="AJ36" s="90"/>
      <c r="AK36" s="90"/>
      <c r="AL36" s="90"/>
      <c r="AM36" s="90"/>
      <c r="AN36" s="90"/>
      <c r="AO36" s="90"/>
      <c r="AP36" s="90"/>
      <c r="AQ36" s="90"/>
      <c r="AR36" s="90"/>
      <c r="AS36" s="90"/>
    </row>
    <row r="37" spans="1:45" s="28" customFormat="1" ht="9.6" customHeight="1" x14ac:dyDescent="0.2">
      <c r="A37" s="34"/>
      <c r="B37" s="240"/>
      <c r="C37" s="215" t="str">
        <f>Exigences!C52</f>
        <v>6.2</v>
      </c>
      <c r="D37" s="95" t="str">
        <f>VLOOKUP($C37,Exigences!$C$11:$D$163,2,FALSE)</f>
        <v>Objectifs qualité et planification des actions pour les atteindre</v>
      </c>
      <c r="E37" s="95"/>
      <c r="F37" s="95"/>
      <c r="G37" s="96" t="str">
        <f>Exigences!Y52</f>
        <v>Niveau non applicable</v>
      </c>
      <c r="H37" s="96">
        <f>IF(Exigences!Z52="NA",0,Exigences!Z52)</f>
        <v>0</v>
      </c>
      <c r="I37" s="97" t="str">
        <f>IF(G37=Présentation!$H$24,"Niveau NA",PROPER(MID(Exigences!Y52,1,9)))</f>
        <v>Niveau NA</v>
      </c>
      <c r="J37" s="48"/>
      <c r="K37" s="98"/>
      <c r="M37" s="479"/>
      <c r="N37" s="479"/>
      <c r="O37" s="479"/>
      <c r="P37" s="479"/>
      <c r="Q37" s="479"/>
      <c r="R37" s="479"/>
      <c r="S37" s="479"/>
      <c r="T37" s="479"/>
      <c r="U37" s="479"/>
      <c r="V37" s="479"/>
      <c r="W37" s="493"/>
      <c r="X37" s="479"/>
      <c r="Y37" s="479"/>
      <c r="Z37" s="479"/>
      <c r="AA37" s="492"/>
      <c r="AB37" s="475"/>
      <c r="AC37" s="90"/>
      <c r="AD37" s="90"/>
      <c r="AE37" s="90"/>
      <c r="AF37" s="90"/>
      <c r="AG37" s="90"/>
      <c r="AH37" s="90"/>
      <c r="AI37" s="90"/>
      <c r="AJ37" s="90"/>
      <c r="AK37" s="90"/>
      <c r="AL37" s="90"/>
      <c r="AM37" s="90"/>
      <c r="AN37" s="90"/>
      <c r="AO37" s="90"/>
      <c r="AP37" s="90"/>
      <c r="AQ37" s="90"/>
      <c r="AR37" s="90"/>
      <c r="AS37" s="90"/>
    </row>
    <row r="38" spans="1:45" s="28" customFormat="1" ht="9.6" customHeight="1" x14ac:dyDescent="0.2">
      <c r="A38" s="34"/>
      <c r="B38" s="240"/>
      <c r="C38" s="215" t="str">
        <f>Exigences!C57</f>
        <v>6.3</v>
      </c>
      <c r="D38" s="95" t="str">
        <f>VLOOKUP($C38,Exigences!$C$11:$D$163,2,FALSE)</f>
        <v>Planification des modifications</v>
      </c>
      <c r="E38" s="95"/>
      <c r="F38" s="95"/>
      <c r="G38" s="96" t="str">
        <f>Exigences!Y57</f>
        <v>Niveau non applicable</v>
      </c>
      <c r="H38" s="96">
        <f>IF(Exigences!Z57="NA",0,Exigences!Z57)</f>
        <v>0</v>
      </c>
      <c r="I38" s="97" t="str">
        <f>IF(G38=Présentation!$H$24,"Niveau NA",PROPER(MID(Exigences!Y57,1,9)))</f>
        <v>Niveau NA</v>
      </c>
      <c r="J38" s="48"/>
      <c r="K38" s="98"/>
      <c r="M38" s="479"/>
      <c r="N38" s="479"/>
      <c r="O38" s="479"/>
      <c r="P38" s="479"/>
      <c r="Q38" s="479"/>
      <c r="R38" s="479"/>
      <c r="S38" s="479"/>
      <c r="T38" s="479"/>
      <c r="U38" s="479"/>
      <c r="V38" s="479"/>
      <c r="W38" s="493"/>
      <c r="X38" s="479"/>
      <c r="Y38" s="479"/>
      <c r="Z38" s="479"/>
      <c r="AA38" s="492"/>
      <c r="AB38" s="475"/>
      <c r="AC38" s="90"/>
      <c r="AD38" s="90"/>
      <c r="AE38" s="90"/>
      <c r="AF38" s="90"/>
      <c r="AG38" s="90"/>
      <c r="AH38" s="90"/>
      <c r="AI38" s="90"/>
      <c r="AJ38" s="90"/>
      <c r="AK38" s="90"/>
      <c r="AL38" s="90"/>
      <c r="AM38" s="90"/>
      <c r="AN38" s="90"/>
      <c r="AO38" s="90"/>
      <c r="AP38" s="90"/>
      <c r="AQ38" s="90"/>
      <c r="AR38" s="90"/>
      <c r="AS38" s="90"/>
    </row>
    <row r="39" spans="1:45" s="28" customFormat="1" ht="9.6" customHeight="1" x14ac:dyDescent="0.2">
      <c r="A39" s="34"/>
      <c r="B39" s="297">
        <f>Exigences!C60</f>
        <v>7</v>
      </c>
      <c r="C39" s="298" t="str">
        <f>Exigences!D60</f>
        <v>Support</v>
      </c>
      <c r="D39" s="298"/>
      <c r="E39" s="298"/>
      <c r="F39" s="346"/>
      <c r="G39" s="299" t="str">
        <f>Exigences!Y60</f>
        <v>Niveau non applicable</v>
      </c>
      <c r="H39" s="299">
        <f>IF(Exigences!Z60="NA",0,Exigences!Z60)</f>
        <v>0</v>
      </c>
      <c r="I39" s="300" t="str">
        <f>IF(G39=Présentation!$H$24,"Niveau NA",PROPER(MID(Exigences!Y60,1,9)))</f>
        <v>Niveau NA</v>
      </c>
      <c r="J39" s="48"/>
      <c r="K39" s="98"/>
      <c r="M39" s="479"/>
      <c r="N39" s="479"/>
      <c r="O39" s="479"/>
      <c r="P39" s="479"/>
      <c r="Q39" s="479"/>
      <c r="R39" s="479"/>
      <c r="S39" s="479"/>
      <c r="T39" s="479"/>
      <c r="U39" s="479"/>
      <c r="V39" s="479"/>
      <c r="W39" s="493">
        <f>IF(G39="Niveau non applicable",1,0)</f>
        <v>1</v>
      </c>
      <c r="X39" s="479">
        <f>IF(G39="Niveau non applicable",0,1/COUNTIF($W$27:$W$57,"=0"))</f>
        <v>0</v>
      </c>
      <c r="Y39" s="479">
        <f>H39*X39</f>
        <v>0</v>
      </c>
      <c r="Z39" s="479"/>
      <c r="AA39" s="492"/>
      <c r="AB39" s="475"/>
      <c r="AC39" s="90"/>
      <c r="AD39" s="90"/>
      <c r="AE39" s="90"/>
      <c r="AF39" s="90"/>
      <c r="AG39" s="90"/>
      <c r="AH39" s="90"/>
      <c r="AI39" s="90"/>
      <c r="AJ39" s="90"/>
      <c r="AK39" s="90"/>
      <c r="AL39" s="90"/>
      <c r="AM39" s="90"/>
      <c r="AN39" s="90"/>
      <c r="AO39" s="90"/>
      <c r="AP39" s="90"/>
      <c r="AQ39" s="90"/>
      <c r="AR39" s="90"/>
      <c r="AS39" s="90"/>
    </row>
    <row r="40" spans="1:45" s="28" customFormat="1" ht="9.6" customHeight="1" x14ac:dyDescent="0.2">
      <c r="A40" s="34"/>
      <c r="B40" s="240"/>
      <c r="C40" s="219" t="str">
        <f>Exigences!C61</f>
        <v>7.1</v>
      </c>
      <c r="D40" s="95" t="str">
        <f>VLOOKUP($C40,Exigences!$C$11:$D$163,2,FALSE)</f>
        <v>Ressources</v>
      </c>
      <c r="E40" s="99"/>
      <c r="F40" s="99"/>
      <c r="G40" s="105" t="str">
        <f>Exigences!Y61</f>
        <v>Niveau non applicable</v>
      </c>
      <c r="H40" s="105">
        <f>IF(Exigences!Z61="NA",0,Exigences!Z61)</f>
        <v>0</v>
      </c>
      <c r="I40" s="97" t="str">
        <f>IF(G40=Présentation!$H$24,"Niveau NA",PROPER(MID(Exigences!Y61,1,9)))</f>
        <v>Niveau NA</v>
      </c>
      <c r="J40" s="48"/>
      <c r="K40" s="98"/>
      <c r="M40" s="479"/>
      <c r="N40" s="479"/>
      <c r="O40" s="479"/>
      <c r="P40" s="479"/>
      <c r="Q40" s="479"/>
      <c r="R40" s="479"/>
      <c r="S40" s="479"/>
      <c r="T40" s="479"/>
      <c r="U40" s="479"/>
      <c r="V40" s="479"/>
      <c r="W40" s="493"/>
      <c r="X40" s="479"/>
      <c r="Y40" s="479"/>
      <c r="Z40" s="479"/>
      <c r="AA40" s="492"/>
      <c r="AB40" s="475"/>
      <c r="AC40" s="90"/>
      <c r="AD40" s="90"/>
      <c r="AE40" s="90"/>
      <c r="AF40" s="90"/>
      <c r="AG40" s="90"/>
      <c r="AH40" s="90"/>
      <c r="AI40" s="90"/>
      <c r="AJ40" s="90"/>
      <c r="AK40" s="90"/>
      <c r="AL40" s="90"/>
      <c r="AM40" s="90"/>
      <c r="AN40" s="90"/>
      <c r="AO40" s="90"/>
      <c r="AP40" s="90"/>
      <c r="AQ40" s="90"/>
      <c r="AR40" s="90"/>
      <c r="AS40" s="90"/>
    </row>
    <row r="41" spans="1:45" s="28" customFormat="1" ht="9.6" customHeight="1" x14ac:dyDescent="0.2">
      <c r="A41" s="34"/>
      <c r="B41" s="240"/>
      <c r="C41" s="219" t="str">
        <f>Exigences!C71</f>
        <v>7.2</v>
      </c>
      <c r="D41" s="95" t="str">
        <f>VLOOKUP($C41,Exigences!$C$11:$D$163,2,FALSE)</f>
        <v>Compétences</v>
      </c>
      <c r="E41" s="99"/>
      <c r="F41" s="99"/>
      <c r="G41" s="105" t="str">
        <f>Exigences!Y71</f>
        <v>Niveau non applicable</v>
      </c>
      <c r="H41" s="105">
        <f>IF(Exigences!Z71="NA",0,Exigences!Z71)</f>
        <v>0</v>
      </c>
      <c r="I41" s="97" t="str">
        <f>IF(G41=Présentation!$H$24,"Niveau NA",PROPER(MID(Exigences!Y71,1,9)))</f>
        <v>Niveau NA</v>
      </c>
      <c r="J41" s="48"/>
      <c r="K41" s="98"/>
      <c r="M41" s="479"/>
      <c r="N41" s="479"/>
      <c r="O41" s="479"/>
      <c r="P41" s="479"/>
      <c r="Q41" s="479"/>
      <c r="R41" s="479"/>
      <c r="S41" s="479"/>
      <c r="T41" s="479"/>
      <c r="U41" s="479"/>
      <c r="V41" s="479"/>
      <c r="W41" s="493"/>
      <c r="X41" s="479"/>
      <c r="Y41" s="479"/>
      <c r="Z41" s="479"/>
      <c r="AA41" s="494"/>
      <c r="AB41" s="484"/>
      <c r="AC41" s="106"/>
      <c r="AD41" s="106"/>
      <c r="AE41" s="106"/>
      <c r="AF41" s="106"/>
      <c r="AG41" s="106"/>
      <c r="AH41" s="106"/>
      <c r="AI41" s="106"/>
      <c r="AJ41" s="106"/>
      <c r="AK41" s="106"/>
      <c r="AL41" s="106"/>
      <c r="AM41" s="106"/>
      <c r="AN41" s="106"/>
      <c r="AO41" s="106"/>
      <c r="AP41" s="106"/>
      <c r="AQ41" s="106"/>
      <c r="AR41" s="106"/>
      <c r="AS41" s="106"/>
    </row>
    <row r="42" spans="1:45" s="28" customFormat="1" ht="9.6" customHeight="1" x14ac:dyDescent="0.2">
      <c r="A42" s="34"/>
      <c r="B42" s="240"/>
      <c r="C42" s="219" t="str">
        <f>Exigences!C74</f>
        <v>7.3</v>
      </c>
      <c r="D42" s="95" t="str">
        <f>VLOOKUP($C42,Exigences!$C$11:$D$163,2,FALSE)</f>
        <v>Sensibilisation</v>
      </c>
      <c r="E42" s="99"/>
      <c r="F42" s="99"/>
      <c r="G42" s="105" t="str">
        <f>Exigences!Y74</f>
        <v>Niveau non applicable</v>
      </c>
      <c r="H42" s="105">
        <f>IF(Exigences!Z74="NA",0,Exigences!Z74)</f>
        <v>0</v>
      </c>
      <c r="I42" s="97" t="str">
        <f>IF(G42=Présentation!$H$24,"Niveau NA",PROPER(MID(Exigences!Y74,1,9)))</f>
        <v>Niveau NA</v>
      </c>
      <c r="J42" s="48"/>
      <c r="K42" s="98"/>
      <c r="M42" s="479"/>
      <c r="N42" s="479"/>
      <c r="O42" s="479"/>
      <c r="P42" s="479"/>
      <c r="Q42" s="479"/>
      <c r="R42" s="479"/>
      <c r="S42" s="479"/>
      <c r="T42" s="479"/>
      <c r="U42" s="479"/>
      <c r="V42" s="479"/>
      <c r="W42" s="493"/>
      <c r="X42" s="479"/>
      <c r="Y42" s="479"/>
      <c r="Z42" s="479"/>
      <c r="AA42" s="492"/>
      <c r="AB42" s="475"/>
      <c r="AC42" s="90"/>
      <c r="AD42" s="90"/>
      <c r="AE42" s="90"/>
      <c r="AF42" s="90"/>
      <c r="AG42" s="90"/>
      <c r="AH42" s="90"/>
      <c r="AI42" s="90"/>
      <c r="AJ42" s="90"/>
      <c r="AK42" s="90"/>
      <c r="AL42" s="90"/>
      <c r="AM42" s="90"/>
      <c r="AN42" s="90"/>
      <c r="AO42" s="90"/>
      <c r="AP42" s="90"/>
      <c r="AQ42" s="90"/>
      <c r="AR42" s="90"/>
      <c r="AS42" s="90"/>
    </row>
    <row r="43" spans="1:45" s="28" customFormat="1" ht="9.6" customHeight="1" x14ac:dyDescent="0.2">
      <c r="A43" s="107"/>
      <c r="B43" s="240"/>
      <c r="C43" s="219" t="str">
        <f>Exigences!C77</f>
        <v>7.4</v>
      </c>
      <c r="D43" s="95" t="str">
        <f>VLOOKUP($C43,Exigences!$C$11:$D$163,2,FALSE)</f>
        <v>Communication</v>
      </c>
      <c r="E43" s="95"/>
      <c r="F43" s="95"/>
      <c r="G43" s="96" t="str">
        <f>Exigences!Y77</f>
        <v>Niveau non applicable</v>
      </c>
      <c r="H43" s="105">
        <f>IF(Exigences!Z77="NA",0,Exigences!Z77)</f>
        <v>0</v>
      </c>
      <c r="I43" s="97" t="str">
        <f>IF(G43=Présentation!$H$24,"Niveau NA",PROPER(MID(Exigences!Y77,1,9)))</f>
        <v>Niveau NA</v>
      </c>
      <c r="J43" s="48"/>
      <c r="K43" s="98"/>
      <c r="M43" s="479"/>
      <c r="N43" s="479"/>
      <c r="O43" s="479"/>
      <c r="P43" s="479"/>
      <c r="Q43" s="479"/>
      <c r="R43" s="479"/>
      <c r="S43" s="479"/>
      <c r="T43" s="479"/>
      <c r="U43" s="479"/>
      <c r="V43" s="479"/>
      <c r="W43" s="493"/>
      <c r="X43" s="479"/>
      <c r="Y43" s="479"/>
      <c r="Z43" s="479"/>
      <c r="AA43" s="492"/>
      <c r="AB43" s="475"/>
      <c r="AC43" s="90"/>
      <c r="AD43" s="90"/>
      <c r="AE43" s="90"/>
      <c r="AF43" s="90"/>
      <c r="AG43" s="90"/>
      <c r="AH43" s="90"/>
      <c r="AI43" s="90"/>
      <c r="AJ43" s="90"/>
      <c r="AK43" s="90"/>
      <c r="AL43" s="90"/>
      <c r="AM43" s="90"/>
      <c r="AN43" s="90"/>
      <c r="AO43" s="90"/>
      <c r="AP43" s="90"/>
      <c r="AQ43" s="90"/>
      <c r="AR43" s="90"/>
      <c r="AS43" s="90"/>
    </row>
    <row r="44" spans="1:45" s="28" customFormat="1" ht="9.6" customHeight="1" x14ac:dyDescent="0.2">
      <c r="A44" s="107"/>
      <c r="B44" s="240"/>
      <c r="C44" s="219" t="str">
        <f>Exigences!C80</f>
        <v>7.5</v>
      </c>
      <c r="D44" s="95" t="str">
        <f>VLOOKUP($C44,Exigences!$C$11:$D$163,2,FALSE)</f>
        <v>Informations documentées</v>
      </c>
      <c r="E44" s="95"/>
      <c r="F44" s="95"/>
      <c r="G44" s="96" t="str">
        <f>Exigences!Y80</f>
        <v>Niveau non applicable</v>
      </c>
      <c r="H44" s="105">
        <f>IF(Exigences!Z80="NA",0,Exigences!Z80)</f>
        <v>0</v>
      </c>
      <c r="I44" s="97" t="str">
        <f>IF(G44=Présentation!$H$24,"Niveau NA",PROPER(MID(Exigences!Y80,1,9)))</f>
        <v>Niveau NA</v>
      </c>
      <c r="J44" s="48"/>
      <c r="K44" s="98"/>
      <c r="M44" s="479"/>
      <c r="N44" s="479"/>
      <c r="O44" s="479"/>
      <c r="P44" s="479"/>
      <c r="Q44" s="479"/>
      <c r="R44" s="479"/>
      <c r="S44" s="479"/>
      <c r="T44" s="479"/>
      <c r="U44" s="479"/>
      <c r="V44" s="479"/>
      <c r="W44" s="493"/>
      <c r="X44" s="479"/>
      <c r="Y44" s="479"/>
      <c r="Z44" s="479"/>
      <c r="AA44" s="492"/>
      <c r="AB44" s="475"/>
      <c r="AC44" s="90"/>
      <c r="AD44" s="90"/>
      <c r="AE44" s="90"/>
      <c r="AF44" s="90"/>
      <c r="AG44" s="90"/>
      <c r="AH44" s="90"/>
      <c r="AI44" s="90"/>
      <c r="AJ44" s="90"/>
      <c r="AK44" s="90"/>
      <c r="AL44" s="90"/>
      <c r="AM44" s="90"/>
      <c r="AN44" s="90"/>
      <c r="AO44" s="90"/>
      <c r="AP44" s="90"/>
      <c r="AQ44" s="90"/>
      <c r="AR44" s="90"/>
      <c r="AS44" s="90"/>
    </row>
    <row r="45" spans="1:45" s="28" customFormat="1" ht="9.6" customHeight="1" x14ac:dyDescent="0.2">
      <c r="A45" s="34"/>
      <c r="B45" s="293">
        <f>Exigences!C86</f>
        <v>8</v>
      </c>
      <c r="C45" s="294" t="str">
        <f>Exigences!D86</f>
        <v>Réalisation des activités opérationnelles</v>
      </c>
      <c r="D45" s="294"/>
      <c r="E45" s="294"/>
      <c r="F45" s="345"/>
      <c r="G45" s="295" t="str">
        <f>Exigences!Y86</f>
        <v>Niveau non applicable</v>
      </c>
      <c r="H45" s="295">
        <f>IF(Exigences!Z86="NA",0,Exigences!Z86)</f>
        <v>0</v>
      </c>
      <c r="I45" s="296" t="str">
        <f>IF(G45=Présentation!$H$24,"Niveau NA",PROPER(MID(Exigences!Y86,1,9)))</f>
        <v>Niveau NA</v>
      </c>
      <c r="J45" s="48"/>
      <c r="K45" s="98"/>
      <c r="M45" s="479"/>
      <c r="N45" s="479"/>
      <c r="O45" s="479"/>
      <c r="P45" s="479"/>
      <c r="Q45" s="479"/>
      <c r="R45" s="479"/>
      <c r="S45" s="479"/>
      <c r="T45" s="479"/>
      <c r="U45" s="479"/>
      <c r="V45" s="479"/>
      <c r="W45" s="493">
        <f>IF(G45="Niveau non applicable",1,0)</f>
        <v>1</v>
      </c>
      <c r="X45" s="479">
        <f>IF(G45="Niveau non applicable",0,1/COUNTIF($W$27:$W$57,"=0"))</f>
        <v>0</v>
      </c>
      <c r="Y45" s="479">
        <f>H45*X45</f>
        <v>0</v>
      </c>
      <c r="Z45" s="479"/>
      <c r="AA45" s="492"/>
      <c r="AB45" s="475"/>
      <c r="AC45" s="90"/>
      <c r="AD45" s="90"/>
      <c r="AE45" s="90"/>
      <c r="AF45" s="90"/>
      <c r="AG45" s="90"/>
      <c r="AH45" s="90"/>
      <c r="AI45" s="90"/>
      <c r="AJ45" s="90"/>
      <c r="AK45" s="90"/>
      <c r="AL45" s="90"/>
      <c r="AM45" s="90"/>
      <c r="AN45" s="90"/>
      <c r="AO45" s="90"/>
      <c r="AP45" s="90"/>
      <c r="AQ45" s="90"/>
      <c r="AR45" s="90"/>
      <c r="AS45" s="90"/>
    </row>
    <row r="46" spans="1:45" s="28" customFormat="1" ht="9.6" customHeight="1" x14ac:dyDescent="0.2">
      <c r="A46" s="107"/>
      <c r="B46" s="240"/>
      <c r="C46" s="219" t="str">
        <f>Exigences!C87</f>
        <v>8.1</v>
      </c>
      <c r="D46" s="95" t="str">
        <f>VLOOKUP($C46,Exigences!$C$11:$D$163,2,FALSE)</f>
        <v>Planification et maîtrise opérationnelles</v>
      </c>
      <c r="E46" s="95"/>
      <c r="F46" s="95"/>
      <c r="G46" s="105" t="str">
        <f>Exigences!Y87</f>
        <v>Niveau non applicable</v>
      </c>
      <c r="H46" s="105">
        <f>IF(Exigences!Z87="NA",0,Exigences!Z87)</f>
        <v>0</v>
      </c>
      <c r="I46" s="97" t="str">
        <f>IF(G46=Présentation!$H$24,"Niveau NA",PROPER(MID(Exigences!Y87,1,9)))</f>
        <v>Niveau NA</v>
      </c>
      <c r="J46" s="48"/>
      <c r="K46" s="98"/>
      <c r="M46" s="479"/>
      <c r="N46" s="479"/>
      <c r="O46" s="479"/>
      <c r="P46" s="479"/>
      <c r="Q46" s="479"/>
      <c r="R46" s="479"/>
      <c r="S46" s="479"/>
      <c r="T46" s="479"/>
      <c r="U46" s="479"/>
      <c r="V46" s="479"/>
      <c r="W46" s="493"/>
      <c r="X46" s="479"/>
      <c r="Y46" s="479"/>
      <c r="Z46" s="479"/>
      <c r="AA46" s="492"/>
      <c r="AB46" s="475"/>
      <c r="AC46" s="90"/>
      <c r="AD46" s="90"/>
      <c r="AE46" s="90"/>
      <c r="AF46" s="90"/>
      <c r="AG46" s="90"/>
      <c r="AH46" s="90"/>
      <c r="AI46" s="90"/>
      <c r="AJ46" s="90"/>
      <c r="AK46" s="90"/>
      <c r="AL46" s="90"/>
      <c r="AM46" s="90"/>
      <c r="AN46" s="90"/>
      <c r="AO46" s="90"/>
      <c r="AP46" s="90"/>
      <c r="AQ46" s="90"/>
      <c r="AR46" s="90"/>
      <c r="AS46" s="90"/>
    </row>
    <row r="47" spans="1:45" s="28" customFormat="1" ht="9.6" customHeight="1" x14ac:dyDescent="0.2">
      <c r="A47" s="107"/>
      <c r="B47" s="240"/>
      <c r="C47" s="219" t="str">
        <f>Exigences!C94</f>
        <v>8.2</v>
      </c>
      <c r="D47" s="95" t="str">
        <f>VLOOKUP($C47,Exigences!$C$11:$D$163,2,FALSE)</f>
        <v>Exigences relatives aux produits et services</v>
      </c>
      <c r="E47" s="95"/>
      <c r="F47" s="95"/>
      <c r="G47" s="105" t="str">
        <f>Exigences!Y94</f>
        <v>Niveau non applicable</v>
      </c>
      <c r="H47" s="105">
        <f>IF(Exigences!Z94="NA",0,Exigences!Z94)</f>
        <v>0</v>
      </c>
      <c r="I47" s="97" t="str">
        <f>IF(G47=Présentation!$H$24,"Niveau NA",PROPER(MID(Exigences!Y94,1,9)))</f>
        <v>Niveau NA</v>
      </c>
      <c r="J47" s="48"/>
      <c r="K47" s="98"/>
      <c r="M47" s="479"/>
      <c r="N47" s="479"/>
      <c r="O47" s="479"/>
      <c r="P47" s="479"/>
      <c r="Q47" s="479"/>
      <c r="R47" s="479"/>
      <c r="S47" s="479"/>
      <c r="T47" s="479"/>
      <c r="U47" s="479"/>
      <c r="V47" s="479"/>
      <c r="W47" s="493"/>
      <c r="X47" s="479"/>
      <c r="Y47" s="479"/>
      <c r="Z47" s="479"/>
      <c r="AA47" s="492"/>
      <c r="AB47" s="475"/>
      <c r="AC47" s="90"/>
      <c r="AD47" s="90"/>
      <c r="AE47" s="90"/>
      <c r="AF47" s="90"/>
      <c r="AG47" s="90"/>
      <c r="AH47" s="90"/>
      <c r="AI47" s="90"/>
      <c r="AJ47" s="90"/>
      <c r="AK47" s="90"/>
      <c r="AL47" s="90"/>
      <c r="AM47" s="90"/>
      <c r="AN47" s="90"/>
      <c r="AO47" s="90"/>
      <c r="AP47" s="90"/>
      <c r="AQ47" s="90"/>
      <c r="AR47" s="90"/>
      <c r="AS47" s="90"/>
    </row>
    <row r="48" spans="1:45" s="28" customFormat="1" ht="9.6" customHeight="1" x14ac:dyDescent="0.2">
      <c r="A48" s="107"/>
      <c r="B48" s="240"/>
      <c r="C48" s="219" t="str">
        <f>Exigences!C100</f>
        <v>8.3</v>
      </c>
      <c r="D48" s="95" t="str">
        <f>VLOOKUP($C48,Exigences!$C$11:$D$163,2,FALSE)</f>
        <v>Conception et développement de produits et services</v>
      </c>
      <c r="E48" s="95"/>
      <c r="F48" s="95"/>
      <c r="G48" s="105" t="str">
        <f>Exigences!Y100</f>
        <v>Niveau non applicable</v>
      </c>
      <c r="H48" s="105">
        <f>IF(Exigences!Z100="NA",0,Exigences!Z100)</f>
        <v>0</v>
      </c>
      <c r="I48" s="97" t="str">
        <f>IF(G48=Présentation!$H$24,"Niveau NA",PROPER(MID(Exigences!Y100,1,9)))</f>
        <v>Niveau NA</v>
      </c>
      <c r="J48" s="48"/>
      <c r="K48" s="98"/>
      <c r="M48" s="479"/>
      <c r="N48" s="479"/>
      <c r="O48" s="479"/>
      <c r="P48" s="479"/>
      <c r="Q48" s="479"/>
      <c r="R48" s="479"/>
      <c r="S48" s="479"/>
      <c r="T48" s="479"/>
      <c r="U48" s="479"/>
      <c r="V48" s="479"/>
      <c r="W48" s="493"/>
      <c r="X48" s="479"/>
      <c r="Y48" s="479"/>
      <c r="Z48" s="479"/>
      <c r="AA48" s="492"/>
      <c r="AB48" s="475"/>
      <c r="AC48" s="90"/>
      <c r="AD48" s="90"/>
      <c r="AE48" s="90"/>
      <c r="AF48" s="90"/>
      <c r="AG48" s="90"/>
      <c r="AH48" s="90"/>
      <c r="AI48" s="90"/>
      <c r="AJ48" s="90"/>
      <c r="AK48" s="90"/>
      <c r="AL48" s="90"/>
      <c r="AM48" s="90"/>
      <c r="AN48" s="90"/>
      <c r="AO48" s="90"/>
      <c r="AP48" s="90"/>
      <c r="AQ48" s="90"/>
      <c r="AR48" s="90"/>
      <c r="AS48" s="90"/>
    </row>
    <row r="49" spans="1:45" s="28" customFormat="1" ht="9.6" customHeight="1" x14ac:dyDescent="0.2">
      <c r="A49" s="107"/>
      <c r="B49" s="240"/>
      <c r="C49" s="219" t="str">
        <f>Exigences!C111</f>
        <v>8.4</v>
      </c>
      <c r="D49" s="95" t="str">
        <f>VLOOKUP($C49,Exigences!$C$11:$D$163,2,FALSE)</f>
        <v>Maîtrise des processus, produits et services fournis par des prestataires externes</v>
      </c>
      <c r="E49" s="95"/>
      <c r="F49" s="95"/>
      <c r="G49" s="105" t="str">
        <f>Exigences!Y111</f>
        <v>Niveau non applicable</v>
      </c>
      <c r="H49" s="105">
        <f>IF(Exigences!Z111="NA",0,Exigences!Z111)</f>
        <v>0</v>
      </c>
      <c r="I49" s="97" t="str">
        <f>IF(G49=Présentation!$H$24,"Niveau NA",PROPER(MID(Exigences!Y111,1,9)))</f>
        <v>Niveau NA</v>
      </c>
      <c r="J49" s="48"/>
      <c r="K49" s="98"/>
      <c r="M49" s="479"/>
      <c r="N49" s="479"/>
      <c r="O49" s="479"/>
      <c r="P49" s="479"/>
      <c r="Q49" s="479"/>
      <c r="R49" s="479"/>
      <c r="S49" s="479"/>
      <c r="T49" s="479"/>
      <c r="U49" s="479"/>
      <c r="V49" s="479"/>
      <c r="W49" s="493"/>
      <c r="X49" s="479"/>
      <c r="Y49" s="479"/>
      <c r="Z49" s="479"/>
      <c r="AA49" s="492"/>
      <c r="AB49" s="475"/>
      <c r="AC49" s="90"/>
      <c r="AD49" s="90"/>
      <c r="AE49" s="90"/>
      <c r="AF49" s="90"/>
      <c r="AG49" s="90"/>
      <c r="AH49" s="90"/>
      <c r="AI49" s="90"/>
      <c r="AJ49" s="90"/>
      <c r="AK49" s="90"/>
      <c r="AL49" s="90"/>
      <c r="AM49" s="90"/>
      <c r="AN49" s="90"/>
      <c r="AO49" s="90"/>
      <c r="AP49" s="90"/>
      <c r="AQ49" s="90"/>
      <c r="AR49" s="90"/>
      <c r="AS49" s="90"/>
    </row>
    <row r="50" spans="1:45" s="28" customFormat="1" ht="9.6" customHeight="1" x14ac:dyDescent="0.2">
      <c r="A50" s="107"/>
      <c r="B50" s="240"/>
      <c r="C50" s="219" t="str">
        <f>Exigences!C122</f>
        <v>8.5</v>
      </c>
      <c r="D50" s="95" t="str">
        <f>VLOOKUP($C50,Exigences!$C$11:$D$163,2,FALSE)</f>
        <v>Production et prestation de service</v>
      </c>
      <c r="E50" s="95"/>
      <c r="F50" s="95"/>
      <c r="G50" s="105" t="str">
        <f>Exigences!Y122</f>
        <v>Niveau non applicable</v>
      </c>
      <c r="H50" s="105">
        <f>IF(Exigences!Z122="NA",0,Exigences!Z122)</f>
        <v>0</v>
      </c>
      <c r="I50" s="97" t="str">
        <f>IF(G50=Présentation!$H$24,"Niveau NA",PROPER(MID(Exigences!Y122,1,9)))</f>
        <v>Niveau NA</v>
      </c>
      <c r="J50" s="48"/>
      <c r="K50" s="98"/>
      <c r="M50" s="479"/>
      <c r="N50" s="479"/>
      <c r="O50" s="479"/>
      <c r="P50" s="479"/>
      <c r="Q50" s="479"/>
      <c r="R50" s="479"/>
      <c r="S50" s="479"/>
      <c r="T50" s="479"/>
      <c r="U50" s="479"/>
      <c r="V50" s="479"/>
      <c r="W50" s="493"/>
      <c r="X50" s="479"/>
      <c r="Y50" s="479"/>
      <c r="Z50" s="479"/>
      <c r="AA50" s="492"/>
      <c r="AB50" s="475"/>
      <c r="AC50" s="90"/>
      <c r="AD50" s="90"/>
      <c r="AE50" s="90"/>
      <c r="AF50" s="90"/>
      <c r="AG50" s="90"/>
      <c r="AH50" s="90"/>
      <c r="AI50" s="90"/>
      <c r="AJ50" s="90"/>
      <c r="AK50" s="90"/>
      <c r="AL50" s="90"/>
      <c r="AM50" s="90"/>
      <c r="AN50" s="90"/>
      <c r="AO50" s="90"/>
      <c r="AP50" s="90"/>
      <c r="AQ50" s="90"/>
      <c r="AR50" s="90"/>
      <c r="AS50" s="90"/>
    </row>
    <row r="51" spans="1:45" s="28" customFormat="1" ht="9.6" customHeight="1" x14ac:dyDescent="0.2">
      <c r="A51" s="107"/>
      <c r="B51" s="240"/>
      <c r="C51" s="219" t="str">
        <f>Exigences!C133</f>
        <v>8.6</v>
      </c>
      <c r="D51" s="95" t="str">
        <f>VLOOKUP($C51,Exigences!$C$11:$D$163,2,FALSE)</f>
        <v>Libération des produits et services</v>
      </c>
      <c r="E51" s="95"/>
      <c r="F51" s="95"/>
      <c r="G51" s="105" t="str">
        <f>Exigences!Y133</f>
        <v>Niveau non applicable</v>
      </c>
      <c r="H51" s="105">
        <f>IF(Exigences!Z133="NA",0,Exigences!Z133)</f>
        <v>0</v>
      </c>
      <c r="I51" s="97" t="str">
        <f>IF(G51=Présentation!$H$24,"Niveau NA",PROPER(MID(Exigences!Y133,1,9)))</f>
        <v>Niveau NA</v>
      </c>
      <c r="J51" s="48"/>
      <c r="K51" s="98"/>
      <c r="M51" s="479"/>
      <c r="N51" s="479"/>
      <c r="O51" s="479"/>
      <c r="P51" s="479"/>
      <c r="Q51" s="479"/>
      <c r="R51" s="479"/>
      <c r="S51" s="479"/>
      <c r="T51" s="479"/>
      <c r="U51" s="479"/>
      <c r="V51" s="479"/>
      <c r="W51" s="493"/>
      <c r="X51" s="479"/>
      <c r="Y51" s="479"/>
      <c r="Z51" s="479"/>
      <c r="AA51" s="492"/>
      <c r="AB51" s="475"/>
      <c r="AC51" s="90"/>
      <c r="AD51" s="90"/>
      <c r="AE51" s="90"/>
      <c r="AF51" s="90"/>
      <c r="AG51" s="90"/>
      <c r="AH51" s="90"/>
      <c r="AI51" s="90"/>
      <c r="AJ51" s="90"/>
      <c r="AK51" s="90"/>
      <c r="AL51" s="90"/>
      <c r="AM51" s="90"/>
      <c r="AN51" s="90"/>
      <c r="AO51" s="90"/>
      <c r="AP51" s="90"/>
      <c r="AQ51" s="90"/>
      <c r="AR51" s="90"/>
      <c r="AS51" s="90"/>
    </row>
    <row r="52" spans="1:45" s="28" customFormat="1" ht="9.6" customHeight="1" x14ac:dyDescent="0.2">
      <c r="A52" s="107"/>
      <c r="B52" s="240"/>
      <c r="C52" s="219" t="str">
        <f>Exigences!C136</f>
        <v>8.7</v>
      </c>
      <c r="D52" s="95" t="str">
        <f>VLOOKUP($C52,Exigences!$C$11:$D$163,2,FALSE)</f>
        <v>Maîtrise des éléments de sortie non conformes</v>
      </c>
      <c r="E52" s="95"/>
      <c r="F52" s="95"/>
      <c r="G52" s="105" t="str">
        <f>Exigences!Y136</f>
        <v>Niveau non applicable</v>
      </c>
      <c r="H52" s="105">
        <f>IF(Exigences!Z136="NA",0,Exigences!Z136)</f>
        <v>0</v>
      </c>
      <c r="I52" s="97" t="str">
        <f>IF(G52=Présentation!$H$24,"Niveau NA",PROPER(MID(Exigences!Y136,1,9)))</f>
        <v>Niveau NA</v>
      </c>
      <c r="J52" s="48"/>
      <c r="K52" s="98"/>
      <c r="M52" s="479"/>
      <c r="N52" s="479"/>
      <c r="O52" s="479"/>
      <c r="P52" s="479"/>
      <c r="Q52" s="479"/>
      <c r="R52" s="479"/>
      <c r="S52" s="479"/>
      <c r="T52" s="479"/>
      <c r="U52" s="479"/>
      <c r="V52" s="479"/>
      <c r="W52" s="493"/>
      <c r="X52" s="479"/>
      <c r="Y52" s="479"/>
      <c r="Z52" s="479"/>
      <c r="AA52" s="492"/>
      <c r="AB52" s="475"/>
      <c r="AC52" s="90"/>
      <c r="AD52" s="90"/>
      <c r="AE52" s="90"/>
      <c r="AF52" s="90"/>
      <c r="AG52" s="90"/>
      <c r="AH52" s="90"/>
      <c r="AI52" s="90"/>
      <c r="AJ52" s="90"/>
      <c r="AK52" s="90"/>
      <c r="AL52" s="90"/>
      <c r="AM52" s="90"/>
      <c r="AN52" s="90"/>
      <c r="AO52" s="90"/>
      <c r="AP52" s="90"/>
      <c r="AQ52" s="90"/>
      <c r="AR52" s="90"/>
      <c r="AS52" s="90"/>
    </row>
    <row r="53" spans="1:45" s="28" customFormat="1" ht="9.6" customHeight="1" x14ac:dyDescent="0.2">
      <c r="A53" s="34"/>
      <c r="B53" s="218">
        <f>Exigences!C141</f>
        <v>9</v>
      </c>
      <c r="C53" s="102" t="str">
        <f>Exigences!D141</f>
        <v>Évaluation des performances</v>
      </c>
      <c r="D53" s="102"/>
      <c r="E53" s="102"/>
      <c r="F53" s="347"/>
      <c r="G53" s="103" t="str">
        <f>Exigences!Y141</f>
        <v>Niveau non applicable</v>
      </c>
      <c r="H53" s="103">
        <f>IF(Exigences!Z141="NA",0,Exigences!Z141)</f>
        <v>0</v>
      </c>
      <c r="I53" s="104" t="str">
        <f>IF(G53=Présentation!$H$24,"Niveau NA",PROPER(MID(Exigences!Y141,1,9)))</f>
        <v>Niveau NA</v>
      </c>
      <c r="J53" s="48"/>
      <c r="K53" s="98"/>
      <c r="M53" s="479"/>
      <c r="N53" s="479"/>
      <c r="O53" s="479"/>
      <c r="P53" s="479"/>
      <c r="Q53" s="479"/>
      <c r="R53" s="479"/>
      <c r="S53" s="479"/>
      <c r="T53" s="479"/>
      <c r="U53" s="479"/>
      <c r="V53" s="479"/>
      <c r="W53" s="493">
        <f>IF(G53="Niveau non applicable",1,0)</f>
        <v>1</v>
      </c>
      <c r="X53" s="479">
        <f>IF(G53="Niveau non applicable",0,1/COUNTIF($W$27:$W$57,"=0"))</f>
        <v>0</v>
      </c>
      <c r="Y53" s="479">
        <f>H53*X53</f>
        <v>0</v>
      </c>
      <c r="Z53" s="479"/>
      <c r="AA53" s="492"/>
      <c r="AB53" s="475"/>
      <c r="AC53" s="90"/>
      <c r="AD53" s="90"/>
      <c r="AE53" s="90"/>
      <c r="AF53" s="90"/>
      <c r="AG53" s="90"/>
      <c r="AH53" s="90"/>
      <c r="AI53" s="90"/>
      <c r="AJ53" s="90"/>
      <c r="AK53" s="90"/>
      <c r="AL53" s="90"/>
      <c r="AM53" s="90"/>
      <c r="AN53" s="90"/>
      <c r="AO53" s="90"/>
      <c r="AP53" s="90"/>
      <c r="AQ53" s="90"/>
      <c r="AR53" s="90"/>
      <c r="AS53" s="90"/>
    </row>
    <row r="54" spans="1:45" s="28" customFormat="1" ht="9.6" customHeight="1" x14ac:dyDescent="0.2">
      <c r="A54" s="107"/>
      <c r="B54" s="240"/>
      <c r="C54" s="219" t="str">
        <f>Exigences!C142</f>
        <v>9.1</v>
      </c>
      <c r="D54" s="95" t="str">
        <f>VLOOKUP($C54,Exigences!$C$11:$D$163,2,FALSE)</f>
        <v>Surveillance, mesure, analyse et évaluation</v>
      </c>
      <c r="E54" s="95"/>
      <c r="F54" s="95"/>
      <c r="G54" s="96" t="str">
        <f>Exigences!Y142</f>
        <v>Niveau non applicable</v>
      </c>
      <c r="H54" s="105">
        <f>IF(Exigences!Z142="NA",0,Exigences!Z142)</f>
        <v>0</v>
      </c>
      <c r="I54" s="97" t="str">
        <f>IF(G54=Présentation!$H$24,"Niveau NA",PROPER(MID(Exigences!Y142,1,9)))</f>
        <v>Niveau NA</v>
      </c>
      <c r="J54" s="48"/>
      <c r="K54" s="98"/>
      <c r="M54" s="479"/>
      <c r="N54" s="479"/>
      <c r="O54" s="479"/>
      <c r="P54" s="479"/>
      <c r="Q54" s="479"/>
      <c r="R54" s="479"/>
      <c r="S54" s="479"/>
      <c r="T54" s="479"/>
      <c r="U54" s="479"/>
      <c r="V54" s="479"/>
      <c r="W54" s="493"/>
      <c r="X54" s="479"/>
      <c r="Y54" s="479"/>
      <c r="Z54" s="479"/>
      <c r="AA54" s="492"/>
      <c r="AB54" s="475"/>
      <c r="AC54" s="90"/>
      <c r="AD54" s="90"/>
      <c r="AE54" s="90"/>
      <c r="AF54" s="90"/>
      <c r="AG54" s="90"/>
      <c r="AH54" s="90"/>
      <c r="AI54" s="90"/>
      <c r="AJ54" s="90"/>
      <c r="AK54" s="90"/>
      <c r="AL54" s="90"/>
      <c r="AM54" s="90"/>
      <c r="AN54" s="90"/>
      <c r="AO54" s="90"/>
      <c r="AP54" s="90"/>
      <c r="AQ54" s="90"/>
      <c r="AR54" s="90"/>
      <c r="AS54" s="90"/>
    </row>
    <row r="55" spans="1:45" s="28" customFormat="1" ht="9.6" customHeight="1" x14ac:dyDescent="0.2">
      <c r="A55" s="107"/>
      <c r="B55" s="240"/>
      <c r="C55" s="219" t="str">
        <f>Exigences!C149</f>
        <v>9.2</v>
      </c>
      <c r="D55" s="95" t="str">
        <f>VLOOKUP($C55,Exigences!$C$11:$D$163,2,FALSE)</f>
        <v>Audit interne</v>
      </c>
      <c r="E55" s="95"/>
      <c r="F55" s="95"/>
      <c r="G55" s="96" t="str">
        <f>Exigences!Y149</f>
        <v>Niveau non applicable</v>
      </c>
      <c r="H55" s="105">
        <f>IF(Exigences!Z149="NA",0,Exigences!Z149)</f>
        <v>0</v>
      </c>
      <c r="I55" s="97" t="str">
        <f>IF(G55=Présentation!$H$24,"Niveau NA",PROPER(MID(Exigences!Y149,1,9)))</f>
        <v>Niveau NA</v>
      </c>
      <c r="J55" s="48"/>
      <c r="K55" s="98"/>
      <c r="M55" s="479"/>
      <c r="N55" s="479"/>
      <c r="O55" s="479"/>
      <c r="P55" s="479"/>
      <c r="Q55" s="479"/>
      <c r="R55" s="479"/>
      <c r="S55" s="479"/>
      <c r="T55" s="479"/>
      <c r="U55" s="479"/>
      <c r="V55" s="479"/>
      <c r="W55" s="493"/>
      <c r="X55" s="479"/>
      <c r="Y55" s="479"/>
      <c r="Z55" s="479"/>
      <c r="AA55" s="492"/>
      <c r="AB55" s="475"/>
      <c r="AC55" s="90"/>
      <c r="AD55" s="90"/>
      <c r="AE55" s="90"/>
      <c r="AF55" s="90"/>
      <c r="AG55" s="90"/>
      <c r="AH55" s="90"/>
      <c r="AI55" s="90"/>
      <c r="AJ55" s="90"/>
      <c r="AK55" s="90"/>
      <c r="AL55" s="90"/>
      <c r="AM55" s="90"/>
      <c r="AN55" s="90"/>
      <c r="AO55" s="90"/>
      <c r="AP55" s="90"/>
      <c r="AQ55" s="90"/>
      <c r="AR55" s="90"/>
      <c r="AS55" s="90"/>
    </row>
    <row r="56" spans="1:45" s="28" customFormat="1" ht="9.6" customHeight="1" x14ac:dyDescent="0.2">
      <c r="A56" s="107"/>
      <c r="B56" s="240"/>
      <c r="C56" s="219" t="str">
        <f>Exigences!C153</f>
        <v>9.3</v>
      </c>
      <c r="D56" s="95" t="str">
        <f>VLOOKUP($C56,Exigences!$C$11:$D$163,2,FALSE)</f>
        <v>Revue de direction</v>
      </c>
      <c r="E56" s="95"/>
      <c r="F56" s="95"/>
      <c r="G56" s="96" t="str">
        <f>Exigences!Y153</f>
        <v>Niveau non applicable</v>
      </c>
      <c r="H56" s="105">
        <f>IF(Exigences!Z153="NA",0,Exigences!Z153)</f>
        <v>0</v>
      </c>
      <c r="I56" s="97" t="str">
        <f>IF(G56=Présentation!$H$24,"Niveau NA",PROPER(MID(Exigences!Y153,1,9)))</f>
        <v>Niveau NA</v>
      </c>
      <c r="J56" s="48"/>
      <c r="K56" s="98"/>
      <c r="M56" s="479"/>
      <c r="N56" s="479"/>
      <c r="O56" s="479"/>
      <c r="P56" s="479"/>
      <c r="Q56" s="479"/>
      <c r="R56" s="479"/>
      <c r="S56" s="479"/>
      <c r="T56" s="479"/>
      <c r="U56" s="479"/>
      <c r="V56" s="479"/>
      <c r="W56" s="493"/>
      <c r="X56" s="479"/>
      <c r="Y56" s="479"/>
      <c r="Z56" s="479"/>
      <c r="AA56" s="492"/>
      <c r="AB56" s="475"/>
      <c r="AC56" s="90"/>
      <c r="AD56" s="90"/>
      <c r="AE56" s="90"/>
      <c r="AF56" s="90"/>
      <c r="AG56" s="90"/>
      <c r="AH56" s="90"/>
      <c r="AI56" s="90"/>
      <c r="AJ56" s="90"/>
      <c r="AK56" s="90"/>
      <c r="AL56" s="90"/>
      <c r="AM56" s="90"/>
      <c r="AN56" s="90"/>
      <c r="AO56" s="90"/>
      <c r="AP56" s="90"/>
      <c r="AQ56" s="90"/>
      <c r="AR56" s="90"/>
      <c r="AS56" s="90"/>
    </row>
    <row r="57" spans="1:45" s="28" customFormat="1" ht="9.6" customHeight="1" x14ac:dyDescent="0.2">
      <c r="A57" s="34"/>
      <c r="B57" s="217">
        <f>Exigences!C156</f>
        <v>10</v>
      </c>
      <c r="C57" s="91" t="str">
        <f>Exigences!D156</f>
        <v>Amélioration</v>
      </c>
      <c r="D57" s="91"/>
      <c r="E57" s="91"/>
      <c r="F57" s="348"/>
      <c r="G57" s="92" t="str">
        <f>Exigences!Y156</f>
        <v>Niveau non applicable</v>
      </c>
      <c r="H57" s="92">
        <f>IF(Exigences!Z156="NA",0,Exigences!Z156)</f>
        <v>0</v>
      </c>
      <c r="I57" s="93" t="str">
        <f>IF(G57=Présentation!$H$24,"Niveau NA",PROPER(MID(Exigences!Y156,1,9)))</f>
        <v>Niveau NA</v>
      </c>
      <c r="J57" s="48"/>
      <c r="K57" s="49"/>
      <c r="L57" s="460"/>
      <c r="M57" s="479"/>
      <c r="N57" s="479"/>
      <c r="O57" s="479"/>
      <c r="P57" s="479"/>
      <c r="Q57" s="479"/>
      <c r="R57" s="479"/>
      <c r="S57" s="479"/>
      <c r="T57" s="479"/>
      <c r="U57" s="479"/>
      <c r="V57" s="479"/>
      <c r="W57" s="493">
        <f>IF(G57="Niveau non applicable",1,0)</f>
        <v>1</v>
      </c>
      <c r="X57" s="479">
        <f>IF(G57="Niveau non applicable",0,1/COUNTIF($W$27:$W$57,"=0"))</f>
        <v>0</v>
      </c>
      <c r="Y57" s="479">
        <f>H57*X57</f>
        <v>0</v>
      </c>
      <c r="Z57" s="479"/>
      <c r="AA57" s="492"/>
      <c r="AB57" s="475"/>
      <c r="AC57" s="90"/>
      <c r="AD57" s="90"/>
      <c r="AE57" s="90"/>
      <c r="AF57" s="90"/>
      <c r="AG57" s="90"/>
      <c r="AH57" s="90"/>
      <c r="AI57" s="90"/>
      <c r="AJ57" s="90"/>
      <c r="AK57" s="90"/>
      <c r="AL57" s="90"/>
      <c r="AM57" s="90"/>
      <c r="AN57" s="90"/>
      <c r="AO57" s="90"/>
      <c r="AP57" s="90"/>
      <c r="AQ57" s="90"/>
      <c r="AR57" s="90"/>
      <c r="AS57" s="90"/>
    </row>
    <row r="58" spans="1:45" s="28" customFormat="1" ht="9.6" customHeight="1" x14ac:dyDescent="0.2">
      <c r="A58" s="107"/>
      <c r="B58" s="240"/>
      <c r="C58" s="219" t="str">
        <f>Exigences!C157</f>
        <v>10.1</v>
      </c>
      <c r="D58" s="95" t="str">
        <f>VLOOKUP($C58,Exigences!$C$11:$D$163,2,FALSE)</f>
        <v>Généralités</v>
      </c>
      <c r="E58" s="95"/>
      <c r="F58" s="95"/>
      <c r="G58" s="96" t="str">
        <f>Exigences!Y157</f>
        <v>Niveau non applicable</v>
      </c>
      <c r="H58" s="105">
        <f>IF(Exigences!Z157="NA",0,Exigences!Z157)</f>
        <v>0</v>
      </c>
      <c r="I58" s="97" t="str">
        <f>IF(G58=Présentation!$H$24,"Niveau NA",PROPER(MID(Exigences!Y157,1,9)))</f>
        <v>Niveau NA</v>
      </c>
      <c r="J58" s="48"/>
      <c r="K58" s="98"/>
      <c r="M58" s="479"/>
      <c r="N58" s="479"/>
      <c r="O58" s="479"/>
      <c r="P58" s="479"/>
      <c r="Q58" s="479"/>
      <c r="R58" s="479"/>
      <c r="S58" s="479"/>
      <c r="T58" s="495"/>
      <c r="U58" s="490"/>
      <c r="V58" s="491"/>
      <c r="W58" s="491"/>
      <c r="X58" s="491"/>
      <c r="Y58" s="492"/>
      <c r="Z58" s="492"/>
      <c r="AA58" s="492"/>
      <c r="AB58" s="475"/>
      <c r="AC58" s="90"/>
      <c r="AD58" s="90"/>
      <c r="AE58" s="90"/>
      <c r="AF58" s="90"/>
      <c r="AG58" s="90"/>
      <c r="AH58" s="90"/>
      <c r="AI58" s="90"/>
      <c r="AJ58" s="90"/>
      <c r="AK58" s="90"/>
      <c r="AL58" s="90"/>
      <c r="AM58" s="90"/>
      <c r="AN58" s="90"/>
      <c r="AO58" s="90"/>
      <c r="AP58" s="90"/>
      <c r="AQ58" s="90"/>
      <c r="AR58" s="90"/>
      <c r="AS58" s="90"/>
    </row>
    <row r="59" spans="1:45" s="28" customFormat="1" ht="9.6" customHeight="1" x14ac:dyDescent="0.2">
      <c r="A59" s="107"/>
      <c r="B59" s="240"/>
      <c r="C59" s="219" t="str">
        <f>Exigences!C159</f>
        <v>10.2</v>
      </c>
      <c r="D59" s="95" t="str">
        <f>VLOOKUP($C59,Exigences!$C$11:$D$163,2,FALSE)</f>
        <v>Non-conformité et action corrective</v>
      </c>
      <c r="E59" s="95"/>
      <c r="F59" s="95"/>
      <c r="G59" s="96" t="str">
        <f>Exigences!Y159</f>
        <v>Niveau non applicable</v>
      </c>
      <c r="H59" s="105">
        <f>IF(Exigences!Z159="NA",0,Exigences!Z159)</f>
        <v>0</v>
      </c>
      <c r="I59" s="97" t="str">
        <f>IF(G59=Présentation!$H$24,"Niveau NA",PROPER(MID(Exigences!Y159,1,9)))</f>
        <v>Niveau NA</v>
      </c>
      <c r="J59" s="48"/>
      <c r="K59" s="98"/>
      <c r="M59" s="479"/>
      <c r="N59" s="479"/>
      <c r="O59" s="479"/>
      <c r="P59" s="479"/>
      <c r="Q59" s="479"/>
      <c r="R59" s="479"/>
      <c r="S59" s="479"/>
      <c r="T59" s="495"/>
      <c r="U59" s="490"/>
      <c r="V59" s="491"/>
      <c r="W59" s="491"/>
      <c r="X59" s="491"/>
      <c r="Y59" s="492"/>
      <c r="Z59" s="492"/>
      <c r="AA59" s="492"/>
      <c r="AB59" s="475"/>
      <c r="AC59" s="90"/>
      <c r="AD59" s="90"/>
      <c r="AE59" s="90"/>
      <c r="AF59" s="90"/>
      <c r="AG59" s="90"/>
      <c r="AH59" s="90"/>
      <c r="AI59" s="90"/>
      <c r="AJ59" s="90"/>
      <c r="AK59" s="90"/>
      <c r="AL59" s="90"/>
      <c r="AM59" s="90"/>
      <c r="AN59" s="90"/>
      <c r="AO59" s="90"/>
      <c r="AP59" s="90"/>
      <c r="AQ59" s="90"/>
      <c r="AR59" s="90"/>
      <c r="AS59" s="90"/>
    </row>
    <row r="60" spans="1:45" s="28" customFormat="1" ht="9.6" customHeight="1" x14ac:dyDescent="0.2">
      <c r="A60" s="107"/>
      <c r="B60" s="242"/>
      <c r="C60" s="220" t="str">
        <f>Exigences!C162</f>
        <v>10.3</v>
      </c>
      <c r="D60" s="108" t="str">
        <f>VLOOKUP($C60,Exigences!$C$11:$D$163,2,FALSE)</f>
        <v>Amélioration continue</v>
      </c>
      <c r="E60" s="108"/>
      <c r="F60" s="108"/>
      <c r="G60" s="109" t="str">
        <f>Exigences!Y162</f>
        <v>Niveau non applicable</v>
      </c>
      <c r="H60" s="109">
        <f>IF(Exigences!Z162="NA",0,Exigences!Z162)</f>
        <v>0</v>
      </c>
      <c r="I60" s="110" t="str">
        <f>IF(G60=Présentation!$H$24,"Niveau NA",PROPER(MID(Exigences!Y162,1,9)))</f>
        <v>Niveau NA</v>
      </c>
      <c r="J60" s="48"/>
      <c r="K60" s="49"/>
      <c r="L60" s="460"/>
      <c r="M60" s="479"/>
      <c r="N60" s="479"/>
      <c r="O60" s="479"/>
      <c r="P60" s="479"/>
      <c r="Q60" s="479"/>
      <c r="R60" s="479"/>
      <c r="S60" s="479"/>
      <c r="T60" s="495"/>
      <c r="U60" s="491"/>
      <c r="V60" s="492"/>
      <c r="W60" s="492"/>
      <c r="X60" s="492"/>
      <c r="Y60" s="492"/>
      <c r="Z60" s="492"/>
      <c r="AA60" s="492"/>
      <c r="AB60" s="475"/>
      <c r="AC60" s="90"/>
      <c r="AD60" s="90"/>
      <c r="AE60" s="90"/>
      <c r="AF60" s="90"/>
      <c r="AG60" s="90"/>
      <c r="AH60" s="90"/>
      <c r="AI60" s="90"/>
      <c r="AJ60" s="90"/>
      <c r="AK60" s="90"/>
      <c r="AL60" s="90"/>
      <c r="AM60" s="90"/>
      <c r="AN60" s="90"/>
      <c r="AO60" s="90"/>
      <c r="AP60" s="90"/>
      <c r="AQ60" s="90"/>
      <c r="AR60" s="90"/>
      <c r="AS60" s="90"/>
    </row>
    <row r="61" spans="1:45" s="28" customFormat="1" ht="11.25" x14ac:dyDescent="0.2">
      <c r="A61" s="107"/>
      <c r="B61" s="243"/>
      <c r="C61" s="34"/>
      <c r="D61" s="34"/>
      <c r="E61" s="34"/>
      <c r="F61" s="34"/>
      <c r="G61" s="34"/>
      <c r="H61" s="34"/>
      <c r="I61" s="34"/>
      <c r="J61" s="48"/>
      <c r="K61" s="49"/>
      <c r="L61" s="460"/>
      <c r="M61" s="460"/>
      <c r="N61" s="473"/>
      <c r="O61" s="460"/>
      <c r="P61" s="460"/>
      <c r="Q61" s="460"/>
      <c r="R61" s="460"/>
      <c r="S61" s="460"/>
      <c r="T61" s="460"/>
      <c r="U61" s="491"/>
      <c r="V61" s="492"/>
      <c r="W61" s="492"/>
      <c r="X61" s="492"/>
      <c r="Y61" s="492"/>
      <c r="Z61" s="492"/>
      <c r="AA61" s="492"/>
      <c r="AB61" s="475"/>
      <c r="AC61" s="90"/>
      <c r="AD61" s="90"/>
      <c r="AE61" s="90"/>
      <c r="AF61" s="90"/>
      <c r="AG61" s="90"/>
      <c r="AH61" s="90"/>
      <c r="AI61" s="90"/>
      <c r="AJ61" s="90"/>
      <c r="AK61" s="90"/>
      <c r="AL61" s="90"/>
      <c r="AM61" s="90"/>
      <c r="AN61" s="90"/>
      <c r="AO61" s="90"/>
      <c r="AP61" s="90"/>
      <c r="AQ61" s="90"/>
      <c r="AR61" s="90"/>
      <c r="AS61" s="90"/>
    </row>
    <row r="62" spans="1:45" ht="21" customHeight="1" x14ac:dyDescent="0.25">
      <c r="L62" s="496"/>
      <c r="U62" s="498"/>
      <c r="V62" s="498"/>
      <c r="W62" s="498"/>
      <c r="X62" s="498"/>
      <c r="Y62" s="498"/>
      <c r="Z62" s="498"/>
      <c r="AA62" s="498"/>
    </row>
    <row r="63" spans="1:45" ht="21" customHeight="1" x14ac:dyDescent="0.25">
      <c r="L63" s="496"/>
      <c r="U63" s="498"/>
      <c r="V63" s="498"/>
      <c r="W63" s="498"/>
      <c r="X63" s="498"/>
      <c r="Y63" s="498"/>
      <c r="Z63" s="498"/>
      <c r="AA63" s="498"/>
    </row>
    <row r="64" spans="1:45" ht="21" customHeight="1" x14ac:dyDescent="0.25">
      <c r="L64" s="496"/>
      <c r="U64" s="498"/>
      <c r="V64" s="498"/>
      <c r="W64" s="498"/>
      <c r="X64" s="498"/>
      <c r="Y64" s="498"/>
      <c r="Z64" s="498"/>
      <c r="AA64" s="498"/>
    </row>
    <row r="65" spans="12:27" ht="21" customHeight="1" x14ac:dyDescent="0.25">
      <c r="L65" s="496"/>
      <c r="U65" s="498"/>
      <c r="V65" s="498"/>
      <c r="W65" s="498"/>
      <c r="X65" s="498"/>
      <c r="Y65" s="498"/>
      <c r="Z65" s="498"/>
      <c r="AA65" s="498"/>
    </row>
    <row r="66" spans="12:27" ht="21" customHeight="1" x14ac:dyDescent="0.25">
      <c r="L66" s="496"/>
      <c r="U66" s="498"/>
      <c r="V66" s="498"/>
      <c r="W66" s="498"/>
      <c r="X66" s="498"/>
      <c r="Y66" s="498"/>
      <c r="Z66" s="498"/>
      <c r="AA66" s="498"/>
    </row>
    <row r="67" spans="12:27" ht="21" customHeight="1" x14ac:dyDescent="0.25">
      <c r="L67" s="496"/>
      <c r="U67" s="498"/>
      <c r="V67" s="498"/>
      <c r="W67" s="498"/>
      <c r="X67" s="498"/>
      <c r="Y67" s="498"/>
      <c r="Z67" s="498"/>
      <c r="AA67" s="498"/>
    </row>
    <row r="68" spans="12:27" x14ac:dyDescent="0.25">
      <c r="L68" s="496"/>
      <c r="U68" s="498"/>
      <c r="V68" s="498"/>
      <c r="W68" s="498"/>
      <c r="X68" s="498"/>
      <c r="Y68" s="498"/>
      <c r="Z68" s="498"/>
      <c r="AA68" s="498"/>
    </row>
    <row r="69" spans="12:27" x14ac:dyDescent="0.25">
      <c r="L69" s="496"/>
      <c r="U69" s="498"/>
      <c r="V69" s="498"/>
      <c r="W69" s="498"/>
      <c r="X69" s="498"/>
      <c r="Y69" s="498"/>
      <c r="Z69" s="498"/>
      <c r="AA69" s="498"/>
    </row>
    <row r="70" spans="12:27" x14ac:dyDescent="0.25">
      <c r="L70" s="496"/>
      <c r="U70" s="498"/>
      <c r="V70" s="498"/>
      <c r="W70" s="498"/>
      <c r="X70" s="498"/>
      <c r="Y70" s="498"/>
      <c r="Z70" s="498"/>
      <c r="AA70" s="498"/>
    </row>
    <row r="71" spans="12:27" x14ac:dyDescent="0.25">
      <c r="L71" s="496"/>
      <c r="U71" s="498"/>
      <c r="V71" s="498"/>
      <c r="W71" s="498"/>
      <c r="X71" s="498"/>
      <c r="Y71" s="498"/>
      <c r="Z71" s="498"/>
      <c r="AA71" s="498"/>
    </row>
    <row r="72" spans="12:27" x14ac:dyDescent="0.25">
      <c r="L72" s="496"/>
      <c r="U72" s="498"/>
      <c r="V72" s="498"/>
      <c r="W72" s="498"/>
      <c r="X72" s="498"/>
      <c r="Y72" s="498"/>
      <c r="Z72" s="498"/>
      <c r="AA72" s="498"/>
    </row>
    <row r="73" spans="12:27" x14ac:dyDescent="0.25">
      <c r="L73" s="496"/>
      <c r="U73" s="498"/>
      <c r="V73" s="498"/>
      <c r="W73" s="498"/>
      <c r="X73" s="498"/>
      <c r="Y73" s="498"/>
      <c r="Z73" s="498"/>
      <c r="AA73" s="498"/>
    </row>
    <row r="74" spans="12:27" x14ac:dyDescent="0.25">
      <c r="L74" s="496"/>
      <c r="U74" s="498"/>
      <c r="V74" s="498"/>
      <c r="W74" s="498"/>
      <c r="X74" s="498"/>
      <c r="Y74" s="498"/>
      <c r="Z74" s="498"/>
      <c r="AA74" s="498"/>
    </row>
    <row r="75" spans="12:27" x14ac:dyDescent="0.25">
      <c r="L75" s="496"/>
      <c r="U75" s="498"/>
      <c r="V75" s="498"/>
      <c r="W75" s="498"/>
      <c r="X75" s="498"/>
      <c r="Y75" s="498"/>
      <c r="Z75" s="498"/>
      <c r="AA75" s="498"/>
    </row>
    <row r="76" spans="12:27" x14ac:dyDescent="0.25">
      <c r="L76" s="496"/>
      <c r="U76" s="498"/>
      <c r="V76" s="498"/>
      <c r="W76" s="498"/>
      <c r="X76" s="498"/>
      <c r="Y76" s="498"/>
      <c r="Z76" s="498"/>
      <c r="AA76" s="498"/>
    </row>
    <row r="77" spans="12:27" x14ac:dyDescent="0.25">
      <c r="L77" s="496"/>
      <c r="U77" s="498"/>
      <c r="V77" s="498"/>
      <c r="W77" s="498"/>
      <c r="X77" s="498"/>
      <c r="Y77" s="498"/>
      <c r="Z77" s="498"/>
      <c r="AA77" s="498"/>
    </row>
    <row r="78" spans="12:27" x14ac:dyDescent="0.25">
      <c r="L78" s="496"/>
      <c r="U78" s="498"/>
      <c r="V78" s="498"/>
      <c r="W78" s="498"/>
      <c r="X78" s="498"/>
      <c r="Y78" s="498"/>
      <c r="Z78" s="498"/>
      <c r="AA78" s="498"/>
    </row>
    <row r="79" spans="12:27" x14ac:dyDescent="0.25">
      <c r="L79" s="496"/>
      <c r="U79" s="498"/>
      <c r="V79" s="498"/>
      <c r="W79" s="498"/>
      <c r="X79" s="498"/>
      <c r="Y79" s="498"/>
      <c r="Z79" s="498"/>
      <c r="AA79" s="498"/>
    </row>
    <row r="80" spans="12:27" x14ac:dyDescent="0.25">
      <c r="L80" s="496"/>
      <c r="U80" s="498"/>
      <c r="V80" s="498"/>
      <c r="W80" s="498"/>
      <c r="X80" s="498"/>
      <c r="Y80" s="498"/>
      <c r="Z80" s="498"/>
      <c r="AA80" s="498"/>
    </row>
    <row r="81" spans="12:27" x14ac:dyDescent="0.25">
      <c r="L81" s="496"/>
      <c r="U81" s="498"/>
      <c r="V81" s="498"/>
      <c r="W81" s="498"/>
      <c r="X81" s="498"/>
      <c r="Y81" s="498"/>
      <c r="Z81" s="498"/>
      <c r="AA81" s="498"/>
    </row>
    <row r="82" spans="12:27" x14ac:dyDescent="0.25">
      <c r="L82" s="496"/>
      <c r="U82" s="498"/>
      <c r="V82" s="498"/>
      <c r="W82" s="498"/>
      <c r="X82" s="498"/>
      <c r="Y82" s="498"/>
      <c r="Z82" s="498"/>
      <c r="AA82" s="498"/>
    </row>
    <row r="83" spans="12:27" x14ac:dyDescent="0.25">
      <c r="L83" s="496"/>
      <c r="U83" s="498"/>
      <c r="V83" s="498"/>
      <c r="W83" s="498"/>
      <c r="X83" s="498"/>
      <c r="Y83" s="498"/>
      <c r="Z83" s="498"/>
      <c r="AA83" s="498"/>
    </row>
    <row r="84" spans="12:27" x14ac:dyDescent="0.25">
      <c r="L84" s="496"/>
      <c r="U84" s="498"/>
      <c r="V84" s="498"/>
      <c r="W84" s="498"/>
      <c r="X84" s="498"/>
      <c r="Y84" s="498"/>
      <c r="Z84" s="498"/>
      <c r="AA84" s="498"/>
    </row>
  </sheetData>
  <mergeCells count="16">
    <mergeCell ref="B16:E16"/>
    <mergeCell ref="B23:I23"/>
    <mergeCell ref="B2:I2"/>
    <mergeCell ref="B4:C4"/>
    <mergeCell ref="D4:E4"/>
    <mergeCell ref="B5:C5"/>
    <mergeCell ref="D5:E5"/>
    <mergeCell ref="H5:I6"/>
    <mergeCell ref="B6:C6"/>
    <mergeCell ref="B8:I8"/>
    <mergeCell ref="B9:E9"/>
    <mergeCell ref="F9:I9"/>
    <mergeCell ref="B17:E17"/>
    <mergeCell ref="B15:E15"/>
    <mergeCell ref="B18:E18"/>
    <mergeCell ref="F10:G10"/>
  </mergeCells>
  <conditionalFormatting sqref="I10">
    <cfRule type="cellIs" dxfId="3" priority="1" operator="equal">
      <formula>"Total"</formula>
    </cfRule>
    <cfRule type="cellIs" dxfId="2" priority="2" operator="equal">
      <formula>"Satisfaisant"</formula>
    </cfRule>
    <cfRule type="cellIs" dxfId="1" priority="3" operator="equal">
      <formula>"Incomplet"</formula>
    </cfRule>
    <cfRule type="cellIs" dxfId="0" priority="5" operator="equal">
      <formula>"Insuffisant"</formula>
    </cfRule>
  </conditionalFormatting>
  <dataValidations disablePrompts="1" count="1">
    <dataValidation allowBlank="1" showInputMessage="1" showErrorMessage="1" prompt="Indiquez brièvement le plan d'action prioritaire : objectifs, pilotage et planning" sqref="G22"/>
  </dataValidations>
  <printOptions horizontalCentered="1"/>
  <pageMargins left="0.31496062992125984" right="0.31496062992125984" top="0.51181102362204722" bottom="0.51181102362204722" header="0.31496062992125984" footer="0.31496062992125984"/>
  <pageSetup paperSize="9" scale="92" orientation="landscape" r:id="rId1"/>
  <headerFooter alignWithMargins="0">
    <oddHeader>&amp;L&amp;"Arial Narrow,Normal"&amp;8UTC  - Master Qualité -  www.utc.fr/master-qualite &amp;C&amp;"Arial Narrow,Normal"&amp;8Onglet : &amp;A&amp;R&amp;"Arial Narrow,Normal"&amp;8Fichier : &amp;F</oddHeader>
    <oddFooter>&amp;L&amp;"Arial Narrow,Normal"&amp;8Version de Juin 2018&amp;C&amp;"Arial Narrow,Normal"&amp;8©2018 : Master 2 Qulaité et Performance dans les Organisations&amp;R&amp;"Arial Narrow,Normal"&amp;8&amp;P/&amp;N</oddFooter>
  </headerFooter>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1:AM69"/>
  <sheetViews>
    <sheetView showGridLines="0" zoomScale="110" zoomScaleNormal="110" zoomScaleSheetLayoutView="90" zoomScalePageLayoutView="90" workbookViewId="0">
      <selection activeCell="I15" sqref="I15"/>
    </sheetView>
  </sheetViews>
  <sheetFormatPr baseColWidth="10" defaultColWidth="11" defaultRowHeight="15" x14ac:dyDescent="0.25"/>
  <cols>
    <col min="1" max="1" width="0.42578125" style="37" customWidth="1"/>
    <col min="2" max="2" width="7.28515625" style="37" customWidth="1"/>
    <col min="3" max="3" width="19" style="37" customWidth="1"/>
    <col min="4" max="5" width="16.7109375" style="37" customWidth="1"/>
    <col min="6" max="6" width="18.7109375" style="37" customWidth="1"/>
    <col min="7" max="9" width="18.28515625" style="37" customWidth="1"/>
    <col min="10" max="10" width="1.28515625" style="37" customWidth="1"/>
    <col min="11" max="11" width="29.28515625" style="37" customWidth="1"/>
    <col min="12" max="12" width="9.28515625" style="168" customWidth="1"/>
    <col min="13" max="19" width="12.7109375" style="168" customWidth="1"/>
    <col min="20" max="20" width="20.140625" style="168" customWidth="1"/>
    <col min="21" max="30" width="10.85546875" style="168" customWidth="1"/>
    <col min="31" max="39" width="10.85546875" style="37" customWidth="1"/>
    <col min="40" max="16384" width="11" style="37"/>
  </cols>
  <sheetData>
    <row r="1" spans="1:39" s="122" customFormat="1" x14ac:dyDescent="0.25">
      <c r="A1" s="37"/>
      <c r="B1" s="44" t="str">
        <f>Présentation!A1</f>
        <v>Document basé sur la norme EN9100</v>
      </c>
      <c r="C1" s="45"/>
      <c r="D1" s="46"/>
      <c r="E1" s="46"/>
      <c r="F1" s="46"/>
      <c r="G1" s="46"/>
      <c r="H1" s="47"/>
      <c r="I1" s="47" t="s">
        <v>25</v>
      </c>
      <c r="J1" s="119"/>
      <c r="K1" s="120"/>
      <c r="L1" s="187"/>
      <c r="M1" s="187"/>
      <c r="N1" s="187"/>
      <c r="O1" s="187"/>
      <c r="P1" s="187"/>
      <c r="Q1" s="187"/>
      <c r="R1" s="187"/>
      <c r="S1" s="187"/>
      <c r="T1" s="187"/>
      <c r="U1" s="188"/>
      <c r="V1" s="188"/>
      <c r="W1" s="188"/>
      <c r="X1" s="188"/>
      <c r="Y1" s="188"/>
      <c r="Z1" s="189"/>
      <c r="AA1" s="189"/>
      <c r="AB1" s="189"/>
      <c r="AC1" s="189"/>
      <c r="AD1" s="189"/>
      <c r="AE1" s="121"/>
      <c r="AF1" s="121"/>
      <c r="AG1" s="121"/>
      <c r="AH1" s="121"/>
      <c r="AI1" s="121"/>
      <c r="AJ1" s="121"/>
      <c r="AK1" s="121"/>
      <c r="AL1" s="121"/>
      <c r="AM1" s="121"/>
    </row>
    <row r="2" spans="1:39" s="123" customFormat="1" ht="21" customHeight="1" x14ac:dyDescent="0.25">
      <c r="A2" s="37"/>
      <c r="B2" s="743" t="str">
        <f>Présentation!A3</f>
        <v>QualAéro: La Qualité dans l'Aéronautique</v>
      </c>
      <c r="C2" s="715"/>
      <c r="D2" s="715"/>
      <c r="E2" s="715"/>
      <c r="F2" s="715"/>
      <c r="G2" s="715"/>
      <c r="H2" s="715"/>
      <c r="I2" s="744"/>
      <c r="J2" s="117"/>
      <c r="K2" s="53"/>
      <c r="L2" s="190"/>
      <c r="M2" s="176"/>
      <c r="N2" s="176"/>
      <c r="O2" s="176"/>
      <c r="P2" s="176"/>
      <c r="Q2" s="176"/>
      <c r="R2" s="176"/>
      <c r="S2" s="176"/>
      <c r="T2" s="176"/>
      <c r="U2" s="177"/>
      <c r="V2" s="177"/>
      <c r="W2" s="177"/>
      <c r="X2" s="177"/>
      <c r="Y2" s="177"/>
      <c r="Z2" s="191"/>
      <c r="AA2" s="191"/>
      <c r="AB2" s="191"/>
      <c r="AC2" s="191"/>
      <c r="AD2" s="191"/>
      <c r="AE2" s="55"/>
      <c r="AF2" s="55"/>
      <c r="AG2" s="55"/>
      <c r="AH2" s="55"/>
      <c r="AI2" s="55"/>
      <c r="AJ2" s="55"/>
      <c r="AK2" s="55"/>
      <c r="AL2" s="55"/>
      <c r="AM2" s="55"/>
    </row>
    <row r="3" spans="1:39" s="124" customFormat="1" ht="3.75" customHeight="1" x14ac:dyDescent="0.25">
      <c r="A3" s="37"/>
      <c r="B3" s="57"/>
      <c r="C3" s="58"/>
      <c r="D3" s="59"/>
      <c r="E3" s="60"/>
      <c r="F3" s="60"/>
      <c r="G3" s="60"/>
      <c r="H3" s="60"/>
      <c r="I3" s="2"/>
      <c r="J3" s="112"/>
      <c r="K3" s="49"/>
      <c r="L3" s="175"/>
      <c r="M3" s="174"/>
      <c r="N3" s="174"/>
      <c r="O3" s="174"/>
      <c r="P3" s="174"/>
      <c r="Q3" s="174"/>
      <c r="R3" s="174"/>
      <c r="S3" s="174"/>
      <c r="T3" s="174"/>
      <c r="U3" s="173"/>
      <c r="V3" s="173"/>
      <c r="W3" s="173"/>
      <c r="X3" s="173"/>
      <c r="Y3" s="173"/>
      <c r="Z3" s="180"/>
      <c r="AA3" s="180"/>
      <c r="AB3" s="180"/>
      <c r="AC3" s="180"/>
      <c r="AD3" s="180"/>
      <c r="AE3" s="50"/>
      <c r="AF3" s="50"/>
      <c r="AG3" s="50"/>
      <c r="AH3" s="50"/>
      <c r="AI3" s="50"/>
      <c r="AJ3" s="50"/>
      <c r="AK3" s="50"/>
      <c r="AL3" s="50"/>
      <c r="AM3" s="50"/>
    </row>
    <row r="4" spans="1:39" s="124" customFormat="1" x14ac:dyDescent="0.25">
      <c r="A4" s="37"/>
      <c r="B4" s="747" t="str">
        <f>Présentation!A7</f>
        <v>Etablissement :</v>
      </c>
      <c r="C4" s="748"/>
      <c r="D4" s="749" t="str">
        <f>Présentation!D7</f>
        <v>Nom de l'établissement / entreprise / service...</v>
      </c>
      <c r="E4" s="750"/>
      <c r="F4" s="125" t="str">
        <f>Exigences!C4</f>
        <v>Date de l'autodiagnostic : </v>
      </c>
      <c r="G4" s="126" t="str">
        <f>IFERROR(IF(Exigences!#REF!="","",Exigences!#REF!),"")</f>
        <v/>
      </c>
      <c r="H4" s="755" t="str">
        <f>Exigences!C7</f>
        <v>L'équipe du projet de certification:</v>
      </c>
      <c r="I4" s="756"/>
      <c r="J4" s="113"/>
      <c r="K4" s="127"/>
      <c r="L4" s="179"/>
      <c r="M4" s="178"/>
      <c r="N4" s="178"/>
      <c r="O4" s="178"/>
      <c r="P4" s="178"/>
      <c r="Q4" s="178"/>
      <c r="R4" s="178"/>
      <c r="S4" s="178"/>
      <c r="T4" s="178"/>
      <c r="U4" s="181"/>
      <c r="V4" s="181"/>
      <c r="W4" s="181"/>
      <c r="X4" s="181"/>
      <c r="Y4" s="181"/>
      <c r="Z4" s="180"/>
      <c r="AA4" s="180"/>
      <c r="AB4" s="180"/>
      <c r="AC4" s="180"/>
      <c r="AD4" s="180"/>
      <c r="AE4" s="50"/>
      <c r="AF4" s="50"/>
      <c r="AG4" s="50"/>
      <c r="AH4" s="50"/>
      <c r="AI4" s="50"/>
      <c r="AJ4" s="50"/>
      <c r="AK4" s="50"/>
      <c r="AL4" s="50"/>
      <c r="AM4" s="50"/>
    </row>
    <row r="5" spans="1:39" s="124" customFormat="1" ht="15.75" customHeight="1" x14ac:dyDescent="0.25">
      <c r="A5" s="37"/>
      <c r="B5" s="757" t="str">
        <f>Présentation!A8</f>
        <v xml:space="preserve"> Responsable du SMQ: </v>
      </c>
      <c r="C5" s="758"/>
      <c r="D5" s="759" t="str">
        <f>Présentation!D8</f>
        <v>NOM et Prénom du Responsable Qualité</v>
      </c>
      <c r="E5" s="760"/>
      <c r="F5" s="128" t="s">
        <v>40</v>
      </c>
      <c r="G5" s="129" t="str">
        <f>Exigences!U5</f>
        <v>NOM et Prénom</v>
      </c>
      <c r="H5" s="751" t="str">
        <f>Exigences!U7</f>
        <v>Nom et Prénom des participants</v>
      </c>
      <c r="I5" s="752"/>
      <c r="J5" s="113"/>
      <c r="K5" s="127"/>
      <c r="L5" s="179"/>
      <c r="M5" s="178"/>
      <c r="N5" s="178"/>
      <c r="O5" s="178"/>
      <c r="P5" s="178"/>
      <c r="Q5" s="178"/>
      <c r="R5" s="178"/>
      <c r="S5" s="178"/>
      <c r="T5" s="178"/>
      <c r="U5" s="181"/>
      <c r="V5" s="181"/>
      <c r="W5" s="181"/>
      <c r="X5" s="181"/>
      <c r="Y5" s="181"/>
      <c r="Z5" s="180"/>
      <c r="AA5" s="180"/>
      <c r="AB5" s="180"/>
      <c r="AC5" s="180"/>
      <c r="AD5" s="180"/>
      <c r="AE5" s="50"/>
      <c r="AF5" s="50"/>
      <c r="AG5" s="50"/>
      <c r="AH5" s="50"/>
      <c r="AI5" s="50"/>
      <c r="AJ5" s="50"/>
      <c r="AK5" s="50"/>
      <c r="AL5" s="50"/>
      <c r="AM5" s="50"/>
    </row>
    <row r="6" spans="1:39" s="124" customFormat="1" ht="15.75" customHeight="1" x14ac:dyDescent="0.25">
      <c r="A6" s="37"/>
      <c r="B6" s="761"/>
      <c r="C6" s="762"/>
      <c r="D6" s="130" t="str">
        <f>Présentation!D9</f>
        <v>Email :</v>
      </c>
      <c r="E6" s="131" t="str">
        <f>Présentation!H9</f>
        <v>Tél :</v>
      </c>
      <c r="F6" s="132" t="str">
        <f>Exigences!U6</f>
        <v>Tél :</v>
      </c>
      <c r="G6" s="132" t="str">
        <f>Exigences!X6</f>
        <v>@ :</v>
      </c>
      <c r="H6" s="753"/>
      <c r="I6" s="754"/>
      <c r="J6" s="113"/>
      <c r="K6" s="127"/>
      <c r="L6" s="179"/>
      <c r="M6" s="178"/>
      <c r="N6" s="178"/>
      <c r="O6" s="178"/>
      <c r="P6" s="178"/>
      <c r="Q6" s="178"/>
      <c r="R6" s="178"/>
      <c r="S6" s="178"/>
      <c r="T6" s="178"/>
      <c r="U6" s="181"/>
      <c r="V6" s="181"/>
      <c r="W6" s="181"/>
      <c r="X6" s="181"/>
      <c r="Y6" s="181"/>
      <c r="Z6" s="180"/>
      <c r="AA6" s="180"/>
      <c r="AB6" s="180"/>
      <c r="AC6" s="180"/>
      <c r="AD6" s="180"/>
      <c r="AE6" s="50"/>
      <c r="AF6" s="50"/>
      <c r="AG6" s="50"/>
      <c r="AH6" s="50"/>
      <c r="AI6" s="50"/>
      <c r="AJ6" s="50"/>
      <c r="AK6" s="50"/>
      <c r="AL6" s="50"/>
      <c r="AM6" s="50"/>
    </row>
    <row r="7" spans="1:39" s="122" customFormat="1" ht="6" customHeight="1" x14ac:dyDescent="0.25">
      <c r="A7" s="37"/>
      <c r="B7" s="133"/>
      <c r="C7" s="134"/>
      <c r="D7" s="134"/>
      <c r="E7" s="134"/>
      <c r="F7" s="133"/>
      <c r="G7" s="133"/>
      <c r="H7" s="134"/>
      <c r="I7" s="135"/>
      <c r="J7" s="119"/>
      <c r="K7" s="136"/>
      <c r="L7" s="192"/>
      <c r="M7" s="192"/>
      <c r="N7" s="192"/>
      <c r="O7" s="192"/>
      <c r="P7" s="192"/>
      <c r="Q7" s="192"/>
      <c r="R7" s="192"/>
      <c r="S7" s="192"/>
      <c r="T7" s="187"/>
      <c r="U7" s="188"/>
      <c r="V7" s="188"/>
      <c r="W7" s="188"/>
      <c r="X7" s="188"/>
      <c r="Y7" s="188"/>
      <c r="Z7" s="189"/>
      <c r="AA7" s="189"/>
      <c r="AB7" s="189"/>
      <c r="AC7" s="189"/>
      <c r="AD7" s="189"/>
      <c r="AE7" s="121"/>
      <c r="AF7" s="121"/>
      <c r="AG7" s="121"/>
      <c r="AH7" s="121"/>
      <c r="AI7" s="121"/>
      <c r="AJ7" s="121"/>
      <c r="AK7" s="121"/>
      <c r="AL7" s="121"/>
      <c r="AM7" s="121"/>
    </row>
    <row r="8" spans="1:39" ht="24" customHeight="1" x14ac:dyDescent="0.25">
      <c r="B8" s="137"/>
      <c r="C8" s="249">
        <f>Exigences!C11</f>
        <v>4</v>
      </c>
      <c r="D8" s="139" t="str">
        <f>Exigences!D11</f>
        <v>Contexte de l'organisme</v>
      </c>
      <c r="E8" s="138"/>
      <c r="F8" s="138"/>
      <c r="G8" s="140"/>
      <c r="H8" s="140"/>
      <c r="I8" s="141"/>
      <c r="K8" s="118"/>
    </row>
    <row r="9" spans="1:39" ht="21" customHeight="1" x14ac:dyDescent="0.25">
      <c r="B9" s="142"/>
      <c r="C9" s="143" t="s">
        <v>35</v>
      </c>
      <c r="D9" s="144" t="s">
        <v>243</v>
      </c>
      <c r="E9" s="144"/>
      <c r="F9" s="144"/>
      <c r="G9" s="745" t="s">
        <v>33</v>
      </c>
      <c r="H9" s="745"/>
      <c r="I9" s="746"/>
      <c r="K9" s="118"/>
    </row>
    <row r="10" spans="1:39" ht="37.5" customHeight="1" x14ac:dyDescent="0.25">
      <c r="B10" s="145"/>
      <c r="C10" s="170" t="str">
        <f>'Résultats Globaux'!G26</f>
        <v>Niveau non applicable</v>
      </c>
      <c r="D10" s="170" t="str">
        <f>IF(C10="Niveau non applicable","NA",'Résultats Globaux'!H26)</f>
        <v>NA</v>
      </c>
      <c r="E10" s="282"/>
      <c r="F10" s="282"/>
      <c r="G10" s="287" t="s">
        <v>72</v>
      </c>
      <c r="H10" s="146"/>
      <c r="I10" s="281"/>
      <c r="K10" s="118"/>
    </row>
    <row r="11" spans="1:39" ht="17.25" customHeight="1" x14ac:dyDescent="0.25">
      <c r="B11" s="145"/>
      <c r="C11" s="146"/>
      <c r="D11" s="146"/>
      <c r="E11" s="146"/>
      <c r="F11" s="146"/>
      <c r="G11" s="282"/>
      <c r="H11" s="282"/>
      <c r="I11" s="281"/>
      <c r="K11" s="118"/>
    </row>
    <row r="12" spans="1:39" ht="39" customHeight="1" x14ac:dyDescent="0.25">
      <c r="B12" s="145"/>
      <c r="C12" s="286"/>
      <c r="D12" s="146"/>
      <c r="E12" s="146"/>
      <c r="F12" s="146"/>
      <c r="G12" s="282"/>
      <c r="H12" s="282"/>
      <c r="I12" s="281"/>
      <c r="K12" s="118"/>
    </row>
    <row r="13" spans="1:39" ht="78.75" customHeight="1" x14ac:dyDescent="0.25">
      <c r="B13" s="145"/>
      <c r="C13" s="146"/>
      <c r="D13" s="146"/>
      <c r="E13" s="146"/>
      <c r="F13" s="146"/>
      <c r="G13" s="282"/>
      <c r="H13" s="282"/>
      <c r="I13" s="281"/>
      <c r="K13" s="118"/>
    </row>
    <row r="14" spans="1:39" ht="78.75" customHeight="1" x14ac:dyDescent="0.25">
      <c r="B14" s="145"/>
      <c r="C14" s="146"/>
      <c r="D14" s="146"/>
      <c r="E14" s="146"/>
      <c r="F14" s="146"/>
      <c r="G14" s="282"/>
      <c r="H14" s="282"/>
      <c r="I14" s="281"/>
      <c r="K14" s="118"/>
    </row>
    <row r="15" spans="1:39" ht="78.75" customHeight="1" x14ac:dyDescent="0.25">
      <c r="B15" s="147"/>
      <c r="C15" s="148"/>
      <c r="D15" s="148"/>
      <c r="E15" s="148"/>
      <c r="F15" s="283"/>
      <c r="G15" s="285"/>
      <c r="H15" s="285"/>
      <c r="I15" s="284"/>
      <c r="K15" s="118"/>
    </row>
    <row r="16" spans="1:39" ht="9" customHeight="1" x14ac:dyDescent="0.25">
      <c r="B16" s="149"/>
      <c r="C16" s="150"/>
      <c r="D16" s="150"/>
      <c r="E16" s="150"/>
      <c r="F16" s="150"/>
      <c r="G16" s="151"/>
      <c r="H16" s="151"/>
      <c r="I16" s="152"/>
      <c r="K16" s="118"/>
    </row>
    <row r="17" spans="1:11" ht="23.25" customHeight="1" x14ac:dyDescent="0.25">
      <c r="B17" s="301"/>
      <c r="C17" s="302">
        <f>Exigences!C28</f>
        <v>5</v>
      </c>
      <c r="D17" s="303" t="str">
        <f>Exigences!D28</f>
        <v>Leadership</v>
      </c>
      <c r="E17" s="304"/>
      <c r="F17" s="304"/>
      <c r="G17" s="305"/>
      <c r="H17" s="305"/>
      <c r="I17" s="306"/>
      <c r="K17" s="118"/>
    </row>
    <row r="18" spans="1:11" ht="23.25" customHeight="1" x14ac:dyDescent="0.25">
      <c r="B18" s="153"/>
      <c r="C18" s="143" t="str">
        <f>C9</f>
        <v>Niveau d'évaluation</v>
      </c>
      <c r="D18" s="144" t="str">
        <f>D9</f>
        <v xml:space="preserve"> Taux de VÉRACITÉ aux exigences</v>
      </c>
      <c r="E18" s="154"/>
      <c r="F18" s="154"/>
      <c r="G18" s="745" t="s">
        <v>33</v>
      </c>
      <c r="H18" s="745"/>
      <c r="I18" s="746"/>
      <c r="K18" s="118"/>
    </row>
    <row r="19" spans="1:11" ht="40.5" customHeight="1" x14ac:dyDescent="0.25">
      <c r="B19" s="145"/>
      <c r="C19" s="170" t="str">
        <f>'Résultats Globaux'!G31</f>
        <v>Niveau non applicable</v>
      </c>
      <c r="D19" s="170" t="str">
        <f>IF(C19="Niveau non applicable","NA",'Résultats Globaux'!H31)</f>
        <v>NA</v>
      </c>
      <c r="E19" s="146"/>
      <c r="F19" s="146"/>
      <c r="G19" s="287" t="s">
        <v>72</v>
      </c>
      <c r="H19" s="146"/>
      <c r="I19" s="281"/>
      <c r="K19" s="118"/>
    </row>
    <row r="20" spans="1:11" ht="17.25" customHeight="1" x14ac:dyDescent="0.25">
      <c r="B20" s="145"/>
      <c r="C20" s="146"/>
      <c r="D20" s="146"/>
      <c r="E20" s="146"/>
      <c r="F20" s="146"/>
      <c r="G20" s="282"/>
      <c r="H20" s="282"/>
      <c r="I20" s="281"/>
      <c r="K20" s="118"/>
    </row>
    <row r="21" spans="1:11" ht="39.75" customHeight="1" x14ac:dyDescent="0.25">
      <c r="B21" s="145"/>
      <c r="C21" s="146"/>
      <c r="D21" s="146"/>
      <c r="E21" s="146"/>
      <c r="F21" s="146"/>
      <c r="G21" s="282"/>
      <c r="H21" s="282"/>
      <c r="I21" s="281"/>
      <c r="K21" s="118"/>
    </row>
    <row r="22" spans="1:11" ht="86.1" customHeight="1" x14ac:dyDescent="0.25">
      <c r="B22" s="145"/>
      <c r="C22" s="146"/>
      <c r="D22" s="146"/>
      <c r="E22" s="146"/>
      <c r="F22" s="146"/>
      <c r="G22" s="282"/>
      <c r="H22" s="282"/>
      <c r="I22" s="281"/>
      <c r="K22" s="118"/>
    </row>
    <row r="23" spans="1:11" ht="86.1" customHeight="1" x14ac:dyDescent="0.25">
      <c r="B23" s="145"/>
      <c r="C23" s="146"/>
      <c r="D23" s="146"/>
      <c r="E23" s="146"/>
      <c r="F23" s="146"/>
      <c r="G23" s="282"/>
      <c r="H23" s="282"/>
      <c r="I23" s="281"/>
      <c r="K23" s="118"/>
    </row>
    <row r="24" spans="1:11" ht="86.1" customHeight="1" x14ac:dyDescent="0.25">
      <c r="B24" s="147"/>
      <c r="C24" s="148"/>
      <c r="D24" s="148"/>
      <c r="E24" s="148"/>
      <c r="F24" s="283"/>
      <c r="G24" s="285"/>
      <c r="H24" s="285"/>
      <c r="I24" s="284"/>
      <c r="K24" s="118"/>
    </row>
    <row r="25" spans="1:11" ht="8.1" customHeight="1" x14ac:dyDescent="0.25">
      <c r="B25" s="155"/>
      <c r="C25" s="155"/>
      <c r="D25" s="155"/>
      <c r="E25" s="155"/>
      <c r="F25" s="155"/>
      <c r="G25" s="155"/>
      <c r="H25" s="134"/>
      <c r="I25" s="135"/>
      <c r="K25" s="118"/>
    </row>
    <row r="26" spans="1:11" ht="24" customHeight="1" x14ac:dyDescent="0.25">
      <c r="A26" s="156"/>
      <c r="B26" s="307"/>
      <c r="C26" s="308">
        <f>Exigences!C47</f>
        <v>6</v>
      </c>
      <c r="D26" s="309" t="str">
        <f>Exigences!D47</f>
        <v>Planification</v>
      </c>
      <c r="E26" s="310"/>
      <c r="F26" s="310"/>
      <c r="G26" s="311"/>
      <c r="H26" s="311"/>
      <c r="I26" s="312"/>
      <c r="K26" s="118"/>
    </row>
    <row r="27" spans="1:11" ht="23.25" customHeight="1" x14ac:dyDescent="0.25">
      <c r="B27" s="153"/>
      <c r="C27" s="143" t="str">
        <f>$C$9</f>
        <v>Niveau d'évaluation</v>
      </c>
      <c r="D27" s="144" t="str">
        <f>$D$9</f>
        <v xml:space="preserve"> Taux de VÉRACITÉ aux exigences</v>
      </c>
      <c r="E27" s="154"/>
      <c r="F27" s="154"/>
      <c r="G27" s="745" t="s">
        <v>33</v>
      </c>
      <c r="H27" s="745"/>
      <c r="I27" s="746"/>
      <c r="K27" s="118"/>
    </row>
    <row r="28" spans="1:11" ht="42" customHeight="1" x14ac:dyDescent="0.25">
      <c r="B28" s="145"/>
      <c r="C28" s="170" t="str">
        <f>'Résultats Globaux'!G35</f>
        <v>Niveau non applicable</v>
      </c>
      <c r="D28" s="170" t="str">
        <f>IF(C28="Niveau non applicable","NA",'Résultats Globaux'!H35)</f>
        <v>NA</v>
      </c>
      <c r="E28" s="146"/>
      <c r="F28" s="146"/>
      <c r="G28" s="287" t="s">
        <v>72</v>
      </c>
      <c r="H28" s="146"/>
      <c r="I28" s="281"/>
      <c r="K28" s="118"/>
    </row>
    <row r="29" spans="1:11" ht="17.25" customHeight="1" x14ac:dyDescent="0.25">
      <c r="B29" s="145"/>
      <c r="C29" s="146"/>
      <c r="D29" s="146"/>
      <c r="E29" s="146"/>
      <c r="F29" s="146"/>
      <c r="G29" s="282"/>
      <c r="H29" s="282"/>
      <c r="I29" s="281"/>
      <c r="K29" s="118"/>
    </row>
    <row r="30" spans="1:11" ht="45" customHeight="1" x14ac:dyDescent="0.25">
      <c r="B30" s="145"/>
      <c r="C30" s="146"/>
      <c r="D30" s="146"/>
      <c r="E30" s="146"/>
      <c r="F30" s="146"/>
      <c r="G30" s="282"/>
      <c r="H30" s="282"/>
      <c r="I30" s="281"/>
      <c r="K30" s="118"/>
    </row>
    <row r="31" spans="1:11" ht="81.75" customHeight="1" x14ac:dyDescent="0.25">
      <c r="B31" s="145"/>
      <c r="C31" s="146"/>
      <c r="D31" s="146"/>
      <c r="E31" s="146"/>
      <c r="F31" s="146"/>
      <c r="G31" s="282"/>
      <c r="H31" s="282"/>
      <c r="I31" s="281"/>
      <c r="K31" s="118"/>
    </row>
    <row r="32" spans="1:11" ht="81.75" customHeight="1" x14ac:dyDescent="0.25">
      <c r="B32" s="145"/>
      <c r="C32" s="146"/>
      <c r="D32" s="146"/>
      <c r="E32" s="146"/>
      <c r="F32" s="146"/>
      <c r="G32" s="282"/>
      <c r="H32" s="282"/>
      <c r="I32" s="281"/>
      <c r="K32" s="118"/>
    </row>
    <row r="33" spans="1:11" ht="81.75" customHeight="1" x14ac:dyDescent="0.25">
      <c r="B33" s="147"/>
      <c r="C33" s="148"/>
      <c r="D33" s="148"/>
      <c r="E33" s="148"/>
      <c r="F33" s="283"/>
      <c r="G33" s="285"/>
      <c r="H33" s="285"/>
      <c r="I33" s="284"/>
      <c r="K33" s="118"/>
    </row>
    <row r="34" spans="1:11" ht="8.1" customHeight="1" x14ac:dyDescent="0.25">
      <c r="B34" s="155"/>
      <c r="C34" s="155"/>
      <c r="D34" s="155"/>
      <c r="E34" s="155"/>
      <c r="F34" s="155"/>
      <c r="G34" s="155"/>
      <c r="H34" s="134"/>
      <c r="I34" s="135"/>
      <c r="K34" s="118"/>
    </row>
    <row r="35" spans="1:11" ht="24" customHeight="1" x14ac:dyDescent="0.25">
      <c r="A35" s="320"/>
      <c r="B35" s="313"/>
      <c r="C35" s="314">
        <f>Exigences!C60</f>
        <v>7</v>
      </c>
      <c r="D35" s="315" t="str">
        <f>Exigences!D60</f>
        <v>Support</v>
      </c>
      <c r="E35" s="316"/>
      <c r="F35" s="316"/>
      <c r="G35" s="317"/>
      <c r="H35" s="317"/>
      <c r="I35" s="318"/>
      <c r="K35" s="118"/>
    </row>
    <row r="36" spans="1:11" ht="23.25" customHeight="1" x14ac:dyDescent="0.25">
      <c r="B36" s="153"/>
      <c r="C36" s="143" t="str">
        <f>C9</f>
        <v>Niveau d'évaluation</v>
      </c>
      <c r="D36" s="144" t="str">
        <f>D9</f>
        <v xml:space="preserve"> Taux de VÉRACITÉ aux exigences</v>
      </c>
      <c r="E36" s="154"/>
      <c r="F36" s="154"/>
      <c r="G36" s="745" t="s">
        <v>33</v>
      </c>
      <c r="H36" s="745"/>
      <c r="I36" s="746"/>
      <c r="K36" s="118"/>
    </row>
    <row r="37" spans="1:11" ht="42" customHeight="1" x14ac:dyDescent="0.25">
      <c r="B37" s="145"/>
      <c r="C37" s="170" t="str">
        <f>'Résultats Globaux'!G39</f>
        <v>Niveau non applicable</v>
      </c>
      <c r="D37" s="170" t="str">
        <f>IF(C37="Niveau non applicable","NA",'Résultats Globaux'!H39)</f>
        <v>NA</v>
      </c>
      <c r="E37" s="146"/>
      <c r="F37" s="146"/>
      <c r="G37" s="287" t="s">
        <v>72</v>
      </c>
      <c r="H37" s="146"/>
      <c r="I37" s="281"/>
      <c r="K37" s="118"/>
    </row>
    <row r="38" spans="1:11" ht="17.25" customHeight="1" x14ac:dyDescent="0.25">
      <c r="B38" s="145"/>
      <c r="C38" s="146"/>
      <c r="D38" s="146"/>
      <c r="E38" s="146"/>
      <c r="F38" s="146"/>
      <c r="G38" s="282"/>
      <c r="H38" s="282"/>
      <c r="I38" s="281"/>
      <c r="K38" s="118"/>
    </row>
    <row r="39" spans="1:11" ht="45" customHeight="1" x14ac:dyDescent="0.25">
      <c r="B39" s="145"/>
      <c r="C39" s="146"/>
      <c r="D39" s="146"/>
      <c r="E39" s="146"/>
      <c r="F39" s="146"/>
      <c r="G39" s="282"/>
      <c r="H39" s="282"/>
      <c r="I39" s="281"/>
      <c r="K39" s="118"/>
    </row>
    <row r="40" spans="1:11" ht="81.75" customHeight="1" x14ac:dyDescent="0.25">
      <c r="B40" s="145"/>
      <c r="C40" s="146"/>
      <c r="D40" s="146"/>
      <c r="E40" s="146"/>
      <c r="F40" s="146"/>
      <c r="G40" s="282"/>
      <c r="H40" s="282"/>
      <c r="I40" s="281"/>
      <c r="K40" s="118"/>
    </row>
    <row r="41" spans="1:11" ht="81.75" customHeight="1" x14ac:dyDescent="0.25">
      <c r="B41" s="145"/>
      <c r="C41" s="146"/>
      <c r="D41" s="146"/>
      <c r="E41" s="146"/>
      <c r="F41" s="146"/>
      <c r="G41" s="282"/>
      <c r="H41" s="282"/>
      <c r="I41" s="281"/>
      <c r="K41" s="118"/>
    </row>
    <row r="42" spans="1:11" ht="81.75" customHeight="1" x14ac:dyDescent="0.25">
      <c r="B42" s="147"/>
      <c r="C42" s="148"/>
      <c r="D42" s="148"/>
      <c r="E42" s="148"/>
      <c r="F42" s="283"/>
      <c r="G42" s="285"/>
      <c r="H42" s="285"/>
      <c r="I42" s="284"/>
      <c r="K42" s="118"/>
    </row>
    <row r="43" spans="1:11" ht="6.75" customHeight="1" x14ac:dyDescent="0.25"/>
    <row r="44" spans="1:11" ht="24" customHeight="1" x14ac:dyDescent="0.25">
      <c r="B44" s="307"/>
      <c r="C44" s="308">
        <f>Exigences!C86</f>
        <v>8</v>
      </c>
      <c r="D44" s="309" t="str">
        <f>Exigences!D86</f>
        <v>Réalisation des activités opérationnelles</v>
      </c>
      <c r="E44" s="310"/>
      <c r="F44" s="310"/>
      <c r="G44" s="311"/>
      <c r="H44" s="311"/>
      <c r="I44" s="312"/>
      <c r="K44" s="118"/>
    </row>
    <row r="45" spans="1:11" ht="21" customHeight="1" x14ac:dyDescent="0.25">
      <c r="B45" s="142"/>
      <c r="C45" s="143" t="str">
        <f>$C$18</f>
        <v>Niveau d'évaluation</v>
      </c>
      <c r="D45" s="144" t="str">
        <f>$D$18</f>
        <v xml:space="preserve"> Taux de VÉRACITÉ aux exigences</v>
      </c>
      <c r="E45" s="144"/>
      <c r="F45" s="144"/>
      <c r="G45" s="745" t="s">
        <v>33</v>
      </c>
      <c r="H45" s="745"/>
      <c r="I45" s="746"/>
      <c r="K45" s="118"/>
    </row>
    <row r="46" spans="1:11" ht="37.5" customHeight="1" x14ac:dyDescent="0.25">
      <c r="B46" s="145"/>
      <c r="C46" s="170" t="str">
        <f>'Résultats Globaux'!G45</f>
        <v>Niveau non applicable</v>
      </c>
      <c r="D46" s="170" t="str">
        <f>IF(C46="Niveau non applicable","NA",'Résultats Globaux'!H45)</f>
        <v>NA</v>
      </c>
      <c r="E46" s="282"/>
      <c r="F46" s="282"/>
      <c r="G46" s="287" t="s">
        <v>72</v>
      </c>
      <c r="H46" s="146"/>
      <c r="I46" s="281"/>
      <c r="K46" s="118"/>
    </row>
    <row r="47" spans="1:11" ht="17.25" customHeight="1" x14ac:dyDescent="0.25">
      <c r="B47" s="145"/>
      <c r="C47" s="146"/>
      <c r="D47" s="146"/>
      <c r="E47" s="146"/>
      <c r="F47" s="146"/>
      <c r="G47" s="282"/>
      <c r="H47" s="282"/>
      <c r="I47" s="281"/>
      <c r="K47" s="118"/>
    </row>
    <row r="48" spans="1:11" ht="39" customHeight="1" x14ac:dyDescent="0.25">
      <c r="B48" s="145"/>
      <c r="C48" s="286"/>
      <c r="D48" s="146"/>
      <c r="E48" s="146"/>
      <c r="F48" s="146"/>
      <c r="G48" s="282"/>
      <c r="H48" s="282"/>
      <c r="I48" s="281"/>
      <c r="K48" s="118"/>
    </row>
    <row r="49" spans="1:11" ht="78.75" customHeight="1" x14ac:dyDescent="0.25">
      <c r="B49" s="145"/>
      <c r="C49" s="146"/>
      <c r="D49" s="146"/>
      <c r="E49" s="146"/>
      <c r="F49" s="146"/>
      <c r="G49" s="282"/>
      <c r="H49" s="282"/>
      <c r="I49" s="281"/>
      <c r="K49" s="118"/>
    </row>
    <row r="50" spans="1:11" ht="78.75" customHeight="1" x14ac:dyDescent="0.25">
      <c r="B50" s="145"/>
      <c r="C50" s="146"/>
      <c r="D50" s="146"/>
      <c r="E50" s="146"/>
      <c r="F50" s="146"/>
      <c r="G50" s="282"/>
      <c r="H50" s="282"/>
      <c r="I50" s="281"/>
      <c r="K50" s="118"/>
    </row>
    <row r="51" spans="1:11" ht="78.75" customHeight="1" x14ac:dyDescent="0.25">
      <c r="B51" s="147"/>
      <c r="C51" s="148"/>
      <c r="D51" s="148"/>
      <c r="E51" s="148"/>
      <c r="F51" s="283"/>
      <c r="G51" s="285"/>
      <c r="H51" s="285"/>
      <c r="I51" s="284"/>
      <c r="K51" s="118"/>
    </row>
    <row r="52" spans="1:11" ht="8.1" customHeight="1" x14ac:dyDescent="0.25">
      <c r="B52" s="155"/>
      <c r="C52" s="155"/>
      <c r="D52" s="155"/>
      <c r="E52" s="155"/>
      <c r="F52" s="155"/>
      <c r="G52" s="155"/>
      <c r="H52" s="134"/>
      <c r="I52" s="135"/>
      <c r="K52" s="118"/>
    </row>
    <row r="53" spans="1:11" ht="24" customHeight="1" x14ac:dyDescent="0.25">
      <c r="A53" s="156"/>
      <c r="B53" s="301"/>
      <c r="C53" s="302">
        <f>Exigences!C141</f>
        <v>9</v>
      </c>
      <c r="D53" s="303" t="str">
        <f>Exigences!D141</f>
        <v>Évaluation des performances</v>
      </c>
      <c r="E53" s="304"/>
      <c r="F53" s="304"/>
      <c r="G53" s="305"/>
      <c r="H53" s="305"/>
      <c r="I53" s="306"/>
      <c r="K53" s="118"/>
    </row>
    <row r="54" spans="1:11" ht="23.25" customHeight="1" x14ac:dyDescent="0.25">
      <c r="B54" s="153"/>
      <c r="C54" s="143" t="str">
        <f>C27</f>
        <v>Niveau d'évaluation</v>
      </c>
      <c r="D54" s="144" t="str">
        <f>D27</f>
        <v xml:space="preserve"> Taux de VÉRACITÉ aux exigences</v>
      </c>
      <c r="E54" s="154"/>
      <c r="F54" s="154"/>
      <c r="G54" s="745" t="s">
        <v>33</v>
      </c>
      <c r="H54" s="745"/>
      <c r="I54" s="746"/>
      <c r="K54" s="118"/>
    </row>
    <row r="55" spans="1:11" ht="42" customHeight="1" x14ac:dyDescent="0.25">
      <c r="B55" s="145"/>
      <c r="C55" s="170" t="str">
        <f>'Résultats Globaux'!G53</f>
        <v>Niveau non applicable</v>
      </c>
      <c r="D55" s="170" t="str">
        <f>IF(C55="Niveau non applicable","NA",'Résultats Globaux'!H53)</f>
        <v>NA</v>
      </c>
      <c r="E55" s="146"/>
      <c r="F55" s="146"/>
      <c r="G55" s="287" t="s">
        <v>72</v>
      </c>
      <c r="H55" s="146"/>
      <c r="I55" s="281"/>
      <c r="K55" s="118"/>
    </row>
    <row r="56" spans="1:11" ht="17.25" customHeight="1" x14ac:dyDescent="0.25">
      <c r="B56" s="145"/>
      <c r="C56" s="146"/>
      <c r="D56" s="146"/>
      <c r="E56" s="146"/>
      <c r="F56" s="146"/>
      <c r="G56" s="282"/>
      <c r="H56" s="282"/>
      <c r="I56" s="281"/>
      <c r="K56" s="118"/>
    </row>
    <row r="57" spans="1:11" ht="45" customHeight="1" x14ac:dyDescent="0.25">
      <c r="B57" s="145"/>
      <c r="C57" s="146"/>
      <c r="D57" s="146"/>
      <c r="E57" s="146"/>
      <c r="F57" s="146"/>
      <c r="G57" s="282"/>
      <c r="H57" s="282"/>
      <c r="I57" s="281"/>
      <c r="K57" s="118"/>
    </row>
    <row r="58" spans="1:11" ht="81.75" customHeight="1" x14ac:dyDescent="0.25">
      <c r="B58" s="145"/>
      <c r="C58" s="146"/>
      <c r="D58" s="146"/>
      <c r="E58" s="146"/>
      <c r="F58" s="146"/>
      <c r="G58" s="282"/>
      <c r="H58" s="282"/>
      <c r="I58" s="281"/>
      <c r="K58" s="118"/>
    </row>
    <row r="59" spans="1:11" ht="81.75" customHeight="1" x14ac:dyDescent="0.25">
      <c r="B59" s="145"/>
      <c r="C59" s="146"/>
      <c r="D59" s="146"/>
      <c r="E59" s="146"/>
      <c r="F59" s="146"/>
      <c r="G59" s="282"/>
      <c r="H59" s="282"/>
      <c r="I59" s="281"/>
      <c r="K59" s="118"/>
    </row>
    <row r="60" spans="1:11" ht="81.75" customHeight="1" x14ac:dyDescent="0.25">
      <c r="B60" s="147"/>
      <c r="C60" s="148"/>
      <c r="D60" s="148"/>
      <c r="E60" s="148"/>
      <c r="F60" s="283"/>
      <c r="G60" s="285"/>
      <c r="H60" s="285"/>
      <c r="I60" s="284"/>
      <c r="K60" s="118"/>
    </row>
    <row r="61" spans="1:11" ht="9" customHeight="1" x14ac:dyDescent="0.25">
      <c r="B61" s="149"/>
      <c r="C61" s="150"/>
      <c r="D61" s="150"/>
      <c r="E61" s="150"/>
      <c r="F61" s="150"/>
      <c r="G61" s="151"/>
      <c r="H61" s="151"/>
      <c r="I61" s="152"/>
      <c r="K61" s="118"/>
    </row>
    <row r="62" spans="1:11" ht="23.25" customHeight="1" x14ac:dyDescent="0.25">
      <c r="B62" s="137"/>
      <c r="C62" s="249">
        <f>Exigences!C156</f>
        <v>10</v>
      </c>
      <c r="D62" s="319" t="str">
        <f>Exigences!D156</f>
        <v>Amélioration</v>
      </c>
      <c r="E62" s="138"/>
      <c r="F62" s="138"/>
      <c r="G62" s="140"/>
      <c r="H62" s="140"/>
      <c r="I62" s="141"/>
      <c r="K62" s="118"/>
    </row>
    <row r="63" spans="1:11" ht="23.25" customHeight="1" x14ac:dyDescent="0.25">
      <c r="B63" s="153"/>
      <c r="C63" s="143" t="str">
        <f>C54</f>
        <v>Niveau d'évaluation</v>
      </c>
      <c r="D63" s="144" t="str">
        <f>D54</f>
        <v xml:space="preserve"> Taux de VÉRACITÉ aux exigences</v>
      </c>
      <c r="E63" s="154"/>
      <c r="F63" s="154"/>
      <c r="G63" s="745" t="s">
        <v>33</v>
      </c>
      <c r="H63" s="745"/>
      <c r="I63" s="746"/>
      <c r="K63" s="118"/>
    </row>
    <row r="64" spans="1:11" ht="40.5" customHeight="1" x14ac:dyDescent="0.25">
      <c r="B64" s="145"/>
      <c r="C64" s="170" t="str">
        <f>'Résultats Globaux'!G57</f>
        <v>Niveau non applicable</v>
      </c>
      <c r="D64" s="170" t="str">
        <f>IF(C64="Niveau non applicable","NA",'Résultats Globaux'!H57)</f>
        <v>NA</v>
      </c>
      <c r="E64" s="146"/>
      <c r="F64" s="146"/>
      <c r="G64" s="287" t="s">
        <v>72</v>
      </c>
      <c r="H64" s="146"/>
      <c r="I64" s="281"/>
      <c r="K64" s="118"/>
    </row>
    <row r="65" spans="2:11" ht="17.25" customHeight="1" x14ac:dyDescent="0.25">
      <c r="B65" s="145"/>
      <c r="C65" s="146"/>
      <c r="D65" s="146"/>
      <c r="E65" s="146"/>
      <c r="F65" s="146"/>
      <c r="G65" s="282"/>
      <c r="H65" s="282"/>
      <c r="I65" s="281"/>
      <c r="K65" s="118"/>
    </row>
    <row r="66" spans="2:11" ht="39.75" customHeight="1" x14ac:dyDescent="0.25">
      <c r="B66" s="145"/>
      <c r="C66" s="146"/>
      <c r="D66" s="146"/>
      <c r="E66" s="146"/>
      <c r="F66" s="146"/>
      <c r="G66" s="282"/>
      <c r="H66" s="282"/>
      <c r="I66" s="281"/>
      <c r="K66" s="118"/>
    </row>
    <row r="67" spans="2:11" ht="86.1" customHeight="1" x14ac:dyDescent="0.25">
      <c r="B67" s="145"/>
      <c r="C67" s="146"/>
      <c r="D67" s="146"/>
      <c r="E67" s="146"/>
      <c r="F67" s="146"/>
      <c r="G67" s="282"/>
      <c r="H67" s="282"/>
      <c r="I67" s="281"/>
      <c r="K67" s="118"/>
    </row>
    <row r="68" spans="2:11" ht="86.1" customHeight="1" x14ac:dyDescent="0.25">
      <c r="B68" s="145"/>
      <c r="C68" s="146"/>
      <c r="D68" s="146"/>
      <c r="E68" s="146"/>
      <c r="F68" s="146"/>
      <c r="G68" s="282"/>
      <c r="H68" s="282"/>
      <c r="I68" s="281"/>
      <c r="K68" s="118"/>
    </row>
    <row r="69" spans="2:11" ht="86.1" customHeight="1" x14ac:dyDescent="0.25">
      <c r="B69" s="147"/>
      <c r="C69" s="148"/>
      <c r="D69" s="148"/>
      <c r="E69" s="148"/>
      <c r="F69" s="283"/>
      <c r="G69" s="285"/>
      <c r="H69" s="285"/>
      <c r="I69" s="284"/>
      <c r="K69" s="118"/>
    </row>
  </sheetData>
  <mergeCells count="15">
    <mergeCell ref="G45:I45"/>
    <mergeCell ref="G54:I54"/>
    <mergeCell ref="G63:I63"/>
    <mergeCell ref="G18:I18"/>
    <mergeCell ref="G36:I36"/>
    <mergeCell ref="B2:I2"/>
    <mergeCell ref="G27:I27"/>
    <mergeCell ref="B4:C4"/>
    <mergeCell ref="D4:E4"/>
    <mergeCell ref="H5:I6"/>
    <mergeCell ref="G9:I9"/>
    <mergeCell ref="H4:I4"/>
    <mergeCell ref="B5:C5"/>
    <mergeCell ref="D5:E5"/>
    <mergeCell ref="B6:C6"/>
  </mergeCells>
  <phoneticPr fontId="5" type="noConversion"/>
  <dataValidations disablePrompts="1" xWindow="616" yWindow="635" count="1">
    <dataValidation allowBlank="1" showInputMessage="1" showErrorMessage="1" prompt="Indiquez tous les enseignements tirés des résultats de l'autodiagnostic" sqref="G37:I37 G19:I19 G28:I28 G10:I10 G46:I46 G55:I55 G64:I64"/>
  </dataValidations>
  <printOptions horizontalCentered="1"/>
  <pageMargins left="0.31496062992125984" right="0.31496062992125984" top="0.59055118110236227" bottom="0.55118110236220474" header="0.31496062992125984" footer="0.31496062992125984"/>
  <pageSetup paperSize="9" orientation="landscape" r:id="rId1"/>
  <headerFooter alignWithMargins="0">
    <oddHeader>&amp;L&amp;"Arial Narrow,Normal"&amp;8 UTC  - Master Qualité -  www.utc.fr/master-qualite &amp;C&amp;"Arial Narrow,Normal"&amp;8Onglet : &amp;A&amp;R&amp;"Arial Narrow,Normal"&amp;8Fichier : &amp;F</oddHeader>
    <oddFooter>&amp;L&amp;"Arial Narrow,Normal"&amp;8Version de Juin 2018&amp;C&amp;"Arial Narrow,Normal"&amp;8©2018 : Master 2 Qualité et Performance dans les Organisations&amp;R&amp;"Arial Narrow,Normal"&amp;8&amp;P/&amp;N</oddFooter>
  </headerFooter>
  <rowBreaks count="6" manualBreakCount="6">
    <brk id="15" max="16383" man="1"/>
    <brk id="24" max="16383" man="1"/>
    <brk id="33" min="1" max="8" man="1"/>
    <brk id="42" min="1" max="8" man="1"/>
    <brk id="51" min="1" max="8" man="1"/>
    <brk id="60" min="1"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3E00"/>
  </sheetPr>
  <dimension ref="A1:G154"/>
  <sheetViews>
    <sheetView topLeftCell="A85" zoomScale="120" zoomScaleNormal="120" zoomScaleSheetLayoutView="100" workbookViewId="0">
      <selection activeCell="D75" sqref="D75"/>
    </sheetView>
  </sheetViews>
  <sheetFormatPr baseColWidth="10" defaultRowHeight="15" x14ac:dyDescent="0.25"/>
  <cols>
    <col min="1" max="1" width="3.7109375" customWidth="1"/>
    <col min="2" max="2" width="53.28515625" customWidth="1"/>
    <col min="3" max="3" width="14.85546875" customWidth="1"/>
    <col min="4" max="4" width="35.85546875" customWidth="1"/>
    <col min="5" max="5" width="42" customWidth="1"/>
    <col min="7" max="7" width="45.28515625" customWidth="1"/>
  </cols>
  <sheetData>
    <row r="1" spans="1:5" x14ac:dyDescent="0.25">
      <c r="A1" s="222" t="s">
        <v>92</v>
      </c>
      <c r="B1" s="229" t="s">
        <v>93</v>
      </c>
      <c r="C1" s="674" t="s">
        <v>100</v>
      </c>
      <c r="D1" s="686"/>
      <c r="E1" s="167" t="s">
        <v>202</v>
      </c>
    </row>
    <row r="2" spans="1:5" x14ac:dyDescent="0.25">
      <c r="A2" s="223">
        <f>Exigences!C11</f>
        <v>4</v>
      </c>
      <c r="B2" s="230" t="str">
        <f>Exigences!D11</f>
        <v>Contexte de l'organisme</v>
      </c>
      <c r="C2" s="653" t="s">
        <v>100</v>
      </c>
      <c r="D2" s="765"/>
      <c r="E2" s="196" t="s">
        <v>296</v>
      </c>
    </row>
    <row r="3" spans="1:5" ht="26.25" customHeight="1" x14ac:dyDescent="0.25">
      <c r="A3" s="224" t="str">
        <f>Exigences!C12</f>
        <v>4.1</v>
      </c>
      <c r="B3" s="231" t="str">
        <f>Exigences!D12</f>
        <v>Compréhension de l’organisme et de son contexte</v>
      </c>
      <c r="C3" s="172" t="s">
        <v>104</v>
      </c>
      <c r="D3" s="172" t="s">
        <v>188</v>
      </c>
      <c r="E3" s="195" t="s">
        <v>296</v>
      </c>
    </row>
    <row r="4" spans="1:5" ht="54" customHeight="1" x14ac:dyDescent="0.25">
      <c r="A4" s="225">
        <f>Exigences!C13</f>
        <v>1</v>
      </c>
      <c r="B4" s="274" t="str">
        <f>Exigences!D13</f>
        <v>Quels sont les enjeux ? 
Question plus fermée : Quelle est la finalité de votre entreprise / de votre service ? 
Quelle est votre stratégie ?</v>
      </c>
      <c r="C4" s="1" t="str">
        <f>Exigences!V13</f>
        <v>Non</v>
      </c>
      <c r="D4" s="763" t="s">
        <v>106</v>
      </c>
      <c r="E4" s="232" t="s">
        <v>208</v>
      </c>
    </row>
    <row r="5" spans="1:5" ht="45" customHeight="1" x14ac:dyDescent="0.25">
      <c r="A5" s="225">
        <f>Exigences!C14</f>
        <v>2</v>
      </c>
      <c r="B5" s="274" t="str">
        <f>Exigences!D14</f>
        <v>Quand les enjeux sont-ils revus ?</v>
      </c>
      <c r="C5" s="1" t="str">
        <f>Exigences!V14</f>
        <v>Non</v>
      </c>
      <c r="D5" s="766"/>
      <c r="E5" s="232" t="s">
        <v>208</v>
      </c>
    </row>
    <row r="6" spans="1:5" ht="18" x14ac:dyDescent="0.25">
      <c r="A6" s="224" t="str">
        <f>Exigences!C15</f>
        <v>4.2</v>
      </c>
      <c r="B6" s="231" t="str">
        <f>Exigences!D15</f>
        <v>Compréhension des besoins et des attentes des parties intéressées</v>
      </c>
      <c r="C6" s="172" t="str">
        <f>Exigences!V15</f>
        <v>La preuve doit être documentée ?</v>
      </c>
      <c r="D6" s="172" t="s">
        <v>188</v>
      </c>
      <c r="E6" s="195" t="s">
        <v>296</v>
      </c>
    </row>
    <row r="7" spans="1:5" ht="132.75" customHeight="1" x14ac:dyDescent="0.25">
      <c r="A7" s="225">
        <f>Exigences!C16</f>
        <v>3</v>
      </c>
      <c r="B7" s="274" t="str">
        <f>Exigences!D16</f>
        <v>Comment avez-vous déterminé vos parties intéressées ? Comment avez-vous défini leur pertinence ?
Quelles sont vos parties intéressées ?</v>
      </c>
      <c r="C7" s="1" t="str">
        <f>Exigences!V16</f>
        <v>Non</v>
      </c>
      <c r="D7" s="763" t="s">
        <v>646</v>
      </c>
      <c r="E7" s="252" t="s">
        <v>461</v>
      </c>
    </row>
    <row r="8" spans="1:5" ht="117" customHeight="1" x14ac:dyDescent="0.25">
      <c r="A8" s="225">
        <f>Exigences!C17</f>
        <v>4</v>
      </c>
      <c r="B8" s="274" t="str">
        <f>Exigences!D17</f>
        <v>Comment déterminez-vous les attentes de ces parties intéressées ?</v>
      </c>
      <c r="C8" s="1" t="str">
        <f>Exigences!V17</f>
        <v>Non</v>
      </c>
      <c r="D8" s="764"/>
      <c r="E8" s="252" t="s">
        <v>461</v>
      </c>
    </row>
    <row r="9" spans="1:5" ht="117" customHeight="1" x14ac:dyDescent="0.25">
      <c r="A9" s="225">
        <f>Exigences!C18</f>
        <v>5</v>
      </c>
      <c r="B9" s="274" t="str">
        <f>Exigences!D18</f>
        <v>Comment vous assurez-vous de la satisfaction de vos PI ?</v>
      </c>
      <c r="C9" s="1" t="str">
        <f>Exigences!V18</f>
        <v>Non</v>
      </c>
      <c r="D9" s="766"/>
      <c r="E9" s="252" t="s">
        <v>461</v>
      </c>
    </row>
    <row r="10" spans="1:5" ht="18" x14ac:dyDescent="0.25">
      <c r="A10" s="224" t="str">
        <f>Exigences!C19</f>
        <v>4.3</v>
      </c>
      <c r="B10" s="231" t="str">
        <f>Exigences!D19</f>
        <v>Détermination du domaine d’application du système de management de la qualité</v>
      </c>
      <c r="C10" s="172" t="str">
        <f>Exigences!V19</f>
        <v>La preuve doit être documentée ?</v>
      </c>
      <c r="D10" s="172" t="s">
        <v>188</v>
      </c>
      <c r="E10" s="195" t="s">
        <v>296</v>
      </c>
    </row>
    <row r="11" spans="1:5" ht="54" x14ac:dyDescent="0.25">
      <c r="A11" s="226">
        <f>Exigences!C20</f>
        <v>6</v>
      </c>
      <c r="B11" s="274" t="str">
        <f>Exigences!D20</f>
        <v>Quel est le domaine d'application de votre système de management ?</v>
      </c>
      <c r="C11" s="1" t="str">
        <f>Exigences!V20</f>
        <v>Oui</v>
      </c>
      <c r="D11" s="763" t="s">
        <v>203</v>
      </c>
      <c r="E11" s="252" t="s">
        <v>462</v>
      </c>
    </row>
    <row r="12" spans="1:5" ht="54" x14ac:dyDescent="0.25">
      <c r="A12" s="226">
        <f>Exigences!C21</f>
        <v>7</v>
      </c>
      <c r="B12" s="274" t="str">
        <f>Exigences!D21</f>
        <v>Le domaine d'application est-il documenté ? Est-il disponible et mis à jour ?</v>
      </c>
      <c r="C12" s="1" t="str">
        <f>Exigences!V21</f>
        <v>Oui</v>
      </c>
      <c r="D12" s="764"/>
      <c r="E12" s="252" t="s">
        <v>462</v>
      </c>
    </row>
    <row r="13" spans="1:5" ht="18" x14ac:dyDescent="0.25">
      <c r="A13" s="224" t="str">
        <f>Exigences!C22</f>
        <v>4.4</v>
      </c>
      <c r="B13" s="231" t="str">
        <f>Exigences!D22</f>
        <v>Système de management de la qualité et ses processus</v>
      </c>
      <c r="C13" s="172" t="str">
        <f>Exigences!V22</f>
        <v>La preuve doit être documentée ?</v>
      </c>
      <c r="D13" s="269" t="s">
        <v>188</v>
      </c>
      <c r="E13" s="195" t="s">
        <v>296</v>
      </c>
    </row>
    <row r="14" spans="1:5" ht="72" customHeight="1" x14ac:dyDescent="0.25">
      <c r="A14" s="226">
        <f>Exigences!C23</f>
        <v>8</v>
      </c>
      <c r="B14" s="274" t="str">
        <f>Exigences!D23</f>
        <v>Comment identifiez-vous les processus nécessaires au système de management de la qualité ?</v>
      </c>
      <c r="C14" s="1" t="str">
        <f>Exigences!V23</f>
        <v>Non</v>
      </c>
      <c r="D14" s="767" t="s">
        <v>297</v>
      </c>
      <c r="E14" s="252" t="s">
        <v>463</v>
      </c>
    </row>
    <row r="15" spans="1:5" ht="54" x14ac:dyDescent="0.25">
      <c r="A15" s="226">
        <f>Exigences!C24</f>
        <v>9</v>
      </c>
      <c r="B15" s="274" t="str">
        <f>Exigences!D24</f>
        <v>Qu'est ce qu'elle comprennent vos processus ? Les processus sont-ils en interaction ?</v>
      </c>
      <c r="C15" s="1" t="str">
        <f>Exigences!V24</f>
        <v>Non</v>
      </c>
      <c r="D15" s="767"/>
      <c r="E15" s="252" t="s">
        <v>463</v>
      </c>
    </row>
    <row r="16" spans="1:5" ht="99" x14ac:dyDescent="0.25">
      <c r="A16" s="226">
        <f>Exigences!C25</f>
        <v>10</v>
      </c>
      <c r="B16" s="274" t="str">
        <f>Exigences!D25</f>
        <v>Comment améliorez-vous les processus et le système de management de la qualité ?</v>
      </c>
      <c r="C16" s="1" t="str">
        <f>Exigences!V25</f>
        <v>Non</v>
      </c>
      <c r="D16" s="768" t="s">
        <v>226</v>
      </c>
      <c r="E16" s="252" t="s">
        <v>301</v>
      </c>
    </row>
    <row r="17" spans="1:5" ht="36" customHeight="1" x14ac:dyDescent="0.25">
      <c r="A17" s="226">
        <f>Exigences!C26</f>
        <v>11</v>
      </c>
      <c r="B17" s="274" t="str">
        <f>Exigences!D26</f>
        <v xml:space="preserve">Comment identifiez-vous les informations documentées nécessaire pour le fonctionnement des processus ? Comment vous les tenez à jour ? </v>
      </c>
      <c r="C17" s="1" t="str">
        <f>Exigences!V26</f>
        <v>Oui</v>
      </c>
      <c r="D17" s="769"/>
      <c r="E17" s="252" t="s">
        <v>209</v>
      </c>
    </row>
    <row r="18" spans="1:5" ht="36" x14ac:dyDescent="0.25">
      <c r="A18" s="226">
        <f>Exigences!C27</f>
        <v>12</v>
      </c>
      <c r="B18" s="382" t="str">
        <f>Exigences!D27</f>
        <v>Comment établissez-vous les informations documentaires? Sont-elles tenus à jour régulièrement ?</v>
      </c>
      <c r="C18" s="1" t="str">
        <f>Exigences!V27</f>
        <v>Oui</v>
      </c>
      <c r="D18" s="252" t="s">
        <v>210</v>
      </c>
      <c r="E18" s="252" t="s">
        <v>209</v>
      </c>
    </row>
    <row r="19" spans="1:5" x14ac:dyDescent="0.25">
      <c r="A19" s="223">
        <f>Exigences!C28</f>
        <v>5</v>
      </c>
      <c r="B19" s="230" t="str">
        <f>Exigences!D28</f>
        <v>Leadership</v>
      </c>
      <c r="C19" s="653" t="s">
        <v>100</v>
      </c>
      <c r="D19" s="765"/>
      <c r="E19" s="196" t="s">
        <v>296</v>
      </c>
    </row>
    <row r="20" spans="1:5" ht="18" x14ac:dyDescent="0.25">
      <c r="A20" s="224" t="str">
        <f>Exigences!C29</f>
        <v>5.1</v>
      </c>
      <c r="B20" s="231" t="str">
        <f>Exigences!D29</f>
        <v>Leadership et Engagement</v>
      </c>
      <c r="C20" s="172" t="str">
        <f>Exigences!V29</f>
        <v>La preuve doit être documentée ?</v>
      </c>
      <c r="D20" s="172" t="s">
        <v>188</v>
      </c>
      <c r="E20" s="195" t="s">
        <v>296</v>
      </c>
    </row>
    <row r="21" spans="1:5" ht="27" customHeight="1" x14ac:dyDescent="0.25">
      <c r="A21" s="226">
        <f>Exigences!C30</f>
        <v>13</v>
      </c>
      <c r="B21" s="373" t="str">
        <f>Exigences!D30</f>
        <v>Existe-t-il un document qui décrit le leadership et l'engagement  vis-à-vis du SMQ?</v>
      </c>
      <c r="C21" s="1" t="str">
        <f>Exigences!V30</f>
        <v>Non</v>
      </c>
      <c r="D21" s="763" t="s">
        <v>212</v>
      </c>
      <c r="E21" s="252" t="s">
        <v>213</v>
      </c>
    </row>
    <row r="22" spans="1:5" ht="108" x14ac:dyDescent="0.25">
      <c r="A22" s="226">
        <f>Exigences!C31</f>
        <v>14</v>
      </c>
      <c r="B22" s="274" t="str">
        <f>Exigences!D31</f>
        <v>Comment définissez-vous la politique et les objectifs qualités ? 
Sont-ils compatibles avec le contexte et l'orientation stratégique de l'organisme ?</v>
      </c>
      <c r="C22" s="1" t="str">
        <f>Exigences!V31</f>
        <v>Non</v>
      </c>
      <c r="D22" s="764"/>
      <c r="E22" s="252" t="s">
        <v>214</v>
      </c>
    </row>
    <row r="23" spans="1:5" ht="108" x14ac:dyDescent="0.25">
      <c r="A23" s="226">
        <f>Exigences!C32</f>
        <v>15</v>
      </c>
      <c r="B23" s="274" t="str">
        <f>Exigences!D32</f>
        <v>Comment communiquez-vous l'importance de satisfaire les exigences liées au SMQ?</v>
      </c>
      <c r="C23" s="1" t="str">
        <f>Exigences!V32</f>
        <v>Non</v>
      </c>
      <c r="D23" s="764"/>
      <c r="E23" s="252" t="s">
        <v>214</v>
      </c>
    </row>
    <row r="24" spans="1:5" ht="108" x14ac:dyDescent="0.25">
      <c r="A24" s="226">
        <f>Exigences!C33</f>
        <v>16</v>
      </c>
      <c r="B24" s="274" t="str">
        <f>Exigences!D33</f>
        <v xml:space="preserve">Comment assurez-vous de la disponibilité des ressources nécessaires au SMQ ? </v>
      </c>
      <c r="C24" s="1" t="str">
        <f>Exigences!V33</f>
        <v>Non</v>
      </c>
      <c r="D24" s="764"/>
      <c r="E24" s="252" t="s">
        <v>214</v>
      </c>
    </row>
    <row r="25" spans="1:5" ht="108" x14ac:dyDescent="0.25">
      <c r="A25" s="226">
        <f>Exigences!C34</f>
        <v>17</v>
      </c>
      <c r="B25" s="274" t="str">
        <f>Exigences!D34</f>
        <v>Comment contribue L'engagement de la direction à l'efficacité et l'amélioration du SMQ ?</v>
      </c>
      <c r="C25" s="1" t="str">
        <f>Exigences!V34</f>
        <v>Non</v>
      </c>
      <c r="D25" s="764"/>
      <c r="E25" s="252" t="s">
        <v>214</v>
      </c>
    </row>
    <row r="26" spans="1:5" ht="108" x14ac:dyDescent="0.25">
      <c r="A26" s="226">
        <f>Exigences!C35</f>
        <v>18</v>
      </c>
      <c r="B26" s="424" t="str">
        <f>Exigences!D35</f>
        <v xml:space="preserve">Comment la direction gère-t-elle les exigences du client ainsi que les exigences légales et réglementaires ? </v>
      </c>
      <c r="C26" s="1" t="str">
        <f>Exigences!V35</f>
        <v>Non</v>
      </c>
      <c r="D26" s="278" t="s">
        <v>222</v>
      </c>
      <c r="E26" s="252" t="s">
        <v>214</v>
      </c>
    </row>
    <row r="27" spans="1:5" ht="108" x14ac:dyDescent="0.25">
      <c r="A27" s="226">
        <f>Exigences!C36</f>
        <v>19</v>
      </c>
      <c r="B27" s="380" t="str">
        <f>Exigences!D36</f>
        <v>Comment assurez-vous la conformité du produit ou du service et la performance des livraisons? Si les résultats attendus ne sont pas atteints, comment réagissez-vous?</v>
      </c>
      <c r="C27" s="1" t="str">
        <f>Exigences!V36</f>
        <v>Non</v>
      </c>
      <c r="D27" s="267" t="s">
        <v>224</v>
      </c>
      <c r="E27" s="252" t="s">
        <v>214</v>
      </c>
    </row>
    <row r="28" spans="1:5" ht="18" x14ac:dyDescent="0.25">
      <c r="A28" s="224" t="str">
        <f>Exigences!C37</f>
        <v>5.2</v>
      </c>
      <c r="B28" s="231" t="str">
        <f>Exigences!D37</f>
        <v>Politique</v>
      </c>
      <c r="C28" s="172" t="str">
        <f>Exigences!V37</f>
        <v>La preuve doit être documentée ?</v>
      </c>
      <c r="D28" s="172" t="s">
        <v>188</v>
      </c>
      <c r="E28" s="195" t="s">
        <v>296</v>
      </c>
    </row>
    <row r="29" spans="1:5" ht="27" x14ac:dyDescent="0.25">
      <c r="A29" s="226">
        <f>Exigences!C38</f>
        <v>20</v>
      </c>
      <c r="B29" s="274" t="str">
        <f>Exigences!D38</f>
        <v>Avez-vous une politique qualité ? Si oui, quelle est-elle?</v>
      </c>
      <c r="C29" s="1" t="str">
        <f>Exigences!V38</f>
        <v>Oui</v>
      </c>
      <c r="D29" s="763" t="s">
        <v>216</v>
      </c>
      <c r="E29" s="252" t="s">
        <v>219</v>
      </c>
    </row>
    <row r="30" spans="1:5" ht="27" x14ac:dyDescent="0.25">
      <c r="A30" s="226">
        <f>Exigences!C39</f>
        <v>21</v>
      </c>
      <c r="B30" s="274" t="str">
        <f>Exigences!D39</f>
        <v xml:space="preserve">Comment établissez-vous la politique qualité ? Comment vous la mettez à jour ? </v>
      </c>
      <c r="C30" s="1" t="str">
        <f>Exigences!V39</f>
        <v>Oui</v>
      </c>
      <c r="D30" s="764"/>
      <c r="E30" s="252" t="s">
        <v>219</v>
      </c>
    </row>
    <row r="31" spans="1:5" ht="54" x14ac:dyDescent="0.25">
      <c r="A31" s="226">
        <f>Exigences!C40</f>
        <v>22</v>
      </c>
      <c r="B31" s="274" t="str">
        <f>Exigences!D40</f>
        <v>Garantissez-vous que la politique est communiqué, comprise et applicable au sein de l'organisme ? Si oui, comment vous le faites ?</v>
      </c>
      <c r="C31" s="1" t="str">
        <f>Exigences!V40</f>
        <v>Non</v>
      </c>
      <c r="D31" s="764"/>
      <c r="E31" s="252" t="s">
        <v>464</v>
      </c>
    </row>
    <row r="32" spans="1:5" ht="18" x14ac:dyDescent="0.25">
      <c r="A32" s="226">
        <f>Exigences!C41</f>
        <v>23</v>
      </c>
      <c r="B32" s="274" t="str">
        <f>Exigences!D41</f>
        <v>Vérifiez-vous que la politique est mise à disposition des parties intéressées pertinentes?</v>
      </c>
      <c r="C32" s="1" t="str">
        <f>Exigences!V41</f>
        <v>Non</v>
      </c>
      <c r="D32" s="766"/>
      <c r="E32" s="252" t="s">
        <v>217</v>
      </c>
    </row>
    <row r="33" spans="1:5" ht="18" x14ac:dyDescent="0.25">
      <c r="A33" s="224" t="str">
        <f>Exigences!C42</f>
        <v>5.3</v>
      </c>
      <c r="B33" s="231" t="str">
        <f>Exigences!D42</f>
        <v>Rôles, responsabilités et autorités au sein de l'organisme</v>
      </c>
      <c r="C33" s="172" t="str">
        <f>Exigences!V42</f>
        <v>La preuve doit être documentée ?</v>
      </c>
      <c r="D33" s="172" t="s">
        <v>188</v>
      </c>
      <c r="E33" s="195" t="s">
        <v>296</v>
      </c>
    </row>
    <row r="34" spans="1:5" ht="27" x14ac:dyDescent="0.25">
      <c r="A34" s="226">
        <f>Exigences!C43</f>
        <v>24</v>
      </c>
      <c r="B34" s="274" t="str">
        <f>Exigences!D43</f>
        <v xml:space="preserve">Comment définissez-vous les rôles et les responsabilités ? Comment faites-vous pour les communiquer ? </v>
      </c>
      <c r="C34" s="1" t="str">
        <f>Exigences!V43</f>
        <v>Non</v>
      </c>
      <c r="D34" s="638" t="s">
        <v>221</v>
      </c>
      <c r="E34" s="390" t="s">
        <v>453</v>
      </c>
    </row>
    <row r="35" spans="1:5" ht="27" x14ac:dyDescent="0.25">
      <c r="A35" s="226">
        <f>Exigences!C44</f>
        <v>25</v>
      </c>
      <c r="B35" s="274" t="str">
        <f>Exigences!D44</f>
        <v xml:space="preserve">Comment assurez-vous de la conformité et de la performance des processus et du SMQ ? </v>
      </c>
      <c r="C35" s="1" t="str">
        <f>Exigences!V44</f>
        <v>Non</v>
      </c>
      <c r="D35" s="639"/>
      <c r="E35" s="390" t="s">
        <v>453</v>
      </c>
    </row>
    <row r="36" spans="1:5" ht="27" x14ac:dyDescent="0.25">
      <c r="A36" s="226">
        <f>Exigences!C45</f>
        <v>26</v>
      </c>
      <c r="B36" s="274" t="str">
        <f>Exigences!D45</f>
        <v>Comment gérez-vous les modifications du SMQ ?</v>
      </c>
      <c r="C36" s="1" t="str">
        <f>Exigences!V45</f>
        <v>Non</v>
      </c>
      <c r="D36" s="639"/>
      <c r="E36" s="390" t="s">
        <v>453</v>
      </c>
    </row>
    <row r="37" spans="1:5" ht="36" x14ac:dyDescent="0.25">
      <c r="A37" s="226">
        <f>Exigences!C46</f>
        <v>27</v>
      </c>
      <c r="B37" s="382" t="str">
        <f>Exigences!D46</f>
        <v>Quelle est la personne responsable de la surveillance des exigences ?</v>
      </c>
      <c r="C37" s="1" t="str">
        <f>Exigences!V46</f>
        <v>Non</v>
      </c>
      <c r="D37" s="268" t="s">
        <v>231</v>
      </c>
      <c r="E37" s="252" t="s">
        <v>232</v>
      </c>
    </row>
    <row r="38" spans="1:5" x14ac:dyDescent="0.25">
      <c r="A38" s="223">
        <f>Exigences!C47</f>
        <v>6</v>
      </c>
      <c r="B38" s="230" t="str">
        <f>Exigences!D47</f>
        <v>Planification</v>
      </c>
      <c r="C38" s="653" t="s">
        <v>100</v>
      </c>
      <c r="D38" s="765"/>
      <c r="E38" s="196" t="s">
        <v>296</v>
      </c>
    </row>
    <row r="39" spans="1:5" ht="18" x14ac:dyDescent="0.25">
      <c r="A39" s="224" t="str">
        <f>Exigences!C48</f>
        <v>6.1</v>
      </c>
      <c r="B39" s="231" t="str">
        <f>Exigences!D48</f>
        <v>Actions à mettre en œuvre face aux risques et opportunités</v>
      </c>
      <c r="C39" s="172" t="str">
        <f>Exigences!V48</f>
        <v>La preuve doit être documentée ?</v>
      </c>
      <c r="D39" s="172" t="s">
        <v>188</v>
      </c>
      <c r="E39" s="195" t="s">
        <v>296</v>
      </c>
    </row>
    <row r="40" spans="1:5" ht="72" x14ac:dyDescent="0.25">
      <c r="A40" s="226">
        <f>Exigences!C49</f>
        <v>28</v>
      </c>
      <c r="B40" s="274" t="str">
        <f>Exigences!D49</f>
        <v>Quels sont les risques liés à vos processus et à vos activités?
Avez-vous mis en place un plan d'action permettant de les accroître et / ou les réduire?</v>
      </c>
      <c r="C40" s="1" t="str">
        <f>Exigences!V49</f>
        <v>Non</v>
      </c>
      <c r="D40" s="278" t="s">
        <v>283</v>
      </c>
      <c r="E40" s="252" t="s">
        <v>465</v>
      </c>
    </row>
    <row r="41" spans="1:5" ht="72" x14ac:dyDescent="0.25">
      <c r="A41" s="226">
        <f>Exigences!C50</f>
        <v>29</v>
      </c>
      <c r="B41" s="274" t="str">
        <f>Exigences!D50</f>
        <v>Comment planifiez-vous les actions à mettre en œuvre face à ces risques et opportunités ? 
Avez-vous intégré l'analyse des risques et opportunités à vos processus ? 
Avez-vous évaluez leur efficacité ?</v>
      </c>
      <c r="C41" s="1" t="str">
        <f>Exigences!V50</f>
        <v>Non</v>
      </c>
      <c r="D41" s="638" t="s">
        <v>284</v>
      </c>
      <c r="E41" s="252" t="s">
        <v>465</v>
      </c>
    </row>
    <row r="42" spans="1:5" ht="72" x14ac:dyDescent="0.25">
      <c r="A42" s="226">
        <f>Exigences!C51</f>
        <v>30</v>
      </c>
      <c r="B42" s="274" t="str">
        <f>Exigences!D51</f>
        <v xml:space="preserve">Prenez vous en compte la conformité des produits et services à la mise en œuvre des actions face aux risques et opportunités ? </v>
      </c>
      <c r="C42" s="1" t="str">
        <f>Exigences!V51</f>
        <v>Non</v>
      </c>
      <c r="D42" s="649"/>
      <c r="E42" s="252" t="s">
        <v>465</v>
      </c>
    </row>
    <row r="43" spans="1:5" ht="18" x14ac:dyDescent="0.25">
      <c r="A43" s="224" t="str">
        <f>Exigences!C52</f>
        <v>6.2</v>
      </c>
      <c r="B43" s="231" t="str">
        <f>Exigences!D52</f>
        <v>Objectifs qualité et planification des actions pour les atteindre</v>
      </c>
      <c r="C43" s="172" t="str">
        <f>Exigences!V52</f>
        <v>La preuve doit être documentée ?</v>
      </c>
      <c r="D43" s="172" t="s">
        <v>188</v>
      </c>
      <c r="E43" s="195" t="s">
        <v>296</v>
      </c>
    </row>
    <row r="44" spans="1:5" ht="81" x14ac:dyDescent="0.25">
      <c r="A44" s="226">
        <f>Exigences!C53</f>
        <v>31</v>
      </c>
      <c r="B44" s="274" t="str">
        <f>Exigences!D53</f>
        <v>Quels sont vos objectifs annuels? Comment sont définis ?
Sont-ils en cohérence avec la politique qualité ?</v>
      </c>
      <c r="C44" s="1" t="str">
        <f>Exigences!V53</f>
        <v>Oui</v>
      </c>
      <c r="D44" s="638" t="s">
        <v>286</v>
      </c>
      <c r="E44" s="252" t="s">
        <v>466</v>
      </c>
    </row>
    <row r="45" spans="1:5" ht="81" x14ac:dyDescent="0.25">
      <c r="A45" s="226">
        <f>Exigences!C54</f>
        <v>32</v>
      </c>
      <c r="B45" s="274" t="str">
        <f>Exigences!D54</f>
        <v xml:space="preserve">Vos objectifs qualités sont-ils mesurables ? Sont-ils documentés ? </v>
      </c>
      <c r="C45" s="1" t="str">
        <f>Exigences!V54</f>
        <v>Oui</v>
      </c>
      <c r="D45" s="639"/>
      <c r="E45" s="252" t="s">
        <v>466</v>
      </c>
    </row>
    <row r="46" spans="1:5" ht="81" x14ac:dyDescent="0.25">
      <c r="A46" s="226">
        <f>Exigences!C55</f>
        <v>33</v>
      </c>
      <c r="B46" s="274" t="str">
        <f>Exigences!D55</f>
        <v>Comment communiquez-vous les objectifs qualités ?</v>
      </c>
      <c r="C46" s="1" t="str">
        <f>Exigences!V55</f>
        <v>Oui</v>
      </c>
      <c r="D46" s="649"/>
      <c r="E46" s="252" t="s">
        <v>466</v>
      </c>
    </row>
    <row r="47" spans="1:5" ht="36" x14ac:dyDescent="0.25">
      <c r="A47" s="226">
        <f>Exigences!C56</f>
        <v>34</v>
      </c>
      <c r="B47" s="274" t="str">
        <f>Exigences!D56</f>
        <v>Comment planifiez-vous les objectifs qualités ?
Avez-vous identifié les responsables, les ressources nécessaires ?</v>
      </c>
      <c r="C47" s="1" t="str">
        <f>Exigences!V56</f>
        <v>Non</v>
      </c>
      <c r="D47" s="278" t="s">
        <v>287</v>
      </c>
      <c r="E47" s="252" t="s">
        <v>288</v>
      </c>
    </row>
    <row r="48" spans="1:5" ht="18" x14ac:dyDescent="0.25">
      <c r="A48" s="224" t="str">
        <f>Exigences!C57</f>
        <v>6.3</v>
      </c>
      <c r="B48" s="231" t="str">
        <f>Exigences!D57</f>
        <v>Planification des modifications</v>
      </c>
      <c r="C48" s="172" t="str">
        <f>Exigences!V57</f>
        <v>La preuve doit être documentée ?</v>
      </c>
      <c r="D48" s="269" t="s">
        <v>188</v>
      </c>
      <c r="E48" s="195" t="s">
        <v>296</v>
      </c>
    </row>
    <row r="49" spans="1:5" ht="99" x14ac:dyDescent="0.25">
      <c r="A49" s="226">
        <f>Exigences!C58</f>
        <v>35</v>
      </c>
      <c r="B49" s="274" t="str">
        <f>Exigences!D58</f>
        <v>Comment gérez-vous les modifications du SMQ?
Avez-vous planifié les modifications qui doivent être réalisées ?</v>
      </c>
      <c r="C49" s="1" t="str">
        <f>Exigences!V58</f>
        <v>Non</v>
      </c>
      <c r="D49" s="638" t="s">
        <v>289</v>
      </c>
      <c r="E49" s="252" t="s">
        <v>290</v>
      </c>
    </row>
    <row r="50" spans="1:5" ht="99" x14ac:dyDescent="0.25">
      <c r="A50" s="226">
        <f>Exigences!C59</f>
        <v>36</v>
      </c>
      <c r="B50" s="274" t="str">
        <f>Exigences!D59</f>
        <v>Qu'est ce que vous prenez en compte lors de la modification du système ?
Avez-vous fixé un objectif et des responsables pour la planification des modifications ?</v>
      </c>
      <c r="C50" s="1" t="str">
        <f>Exigences!V59</f>
        <v>Non</v>
      </c>
      <c r="D50" s="640"/>
      <c r="E50" s="252" t="s">
        <v>290</v>
      </c>
    </row>
    <row r="51" spans="1:5" x14ac:dyDescent="0.25">
      <c r="A51" s="223">
        <f>Exigences!C60</f>
        <v>7</v>
      </c>
      <c r="B51" s="230" t="str">
        <f>Exigences!D60</f>
        <v>Support</v>
      </c>
      <c r="C51" s="653" t="s">
        <v>100</v>
      </c>
      <c r="D51" s="765"/>
      <c r="E51" s="196" t="s">
        <v>296</v>
      </c>
    </row>
    <row r="52" spans="1:5" ht="18" x14ac:dyDescent="0.25">
      <c r="A52" s="224" t="str">
        <f>Exigences!C61</f>
        <v>7.1</v>
      </c>
      <c r="B52" s="231" t="str">
        <f>Exigences!D61</f>
        <v>Ressources</v>
      </c>
      <c r="C52" s="172" t="str">
        <f>Exigences!V61</f>
        <v>La preuve doit être documentée ?</v>
      </c>
      <c r="D52" s="172" t="s">
        <v>188</v>
      </c>
      <c r="E52" s="195" t="s">
        <v>296</v>
      </c>
    </row>
    <row r="53" spans="1:5" ht="54" x14ac:dyDescent="0.25">
      <c r="A53" s="226">
        <f>Exigences!C62</f>
        <v>37</v>
      </c>
      <c r="B53" s="274" t="str">
        <f>Exigences!D62</f>
        <v>Comment assurez-vous les ressources nécessaires à la mise en œuvre du SMQ ?</v>
      </c>
      <c r="C53" s="1" t="str">
        <f>Exigences!V62</f>
        <v>Non</v>
      </c>
      <c r="D53" s="385" t="s">
        <v>293</v>
      </c>
      <c r="E53" s="252" t="s">
        <v>302</v>
      </c>
    </row>
    <row r="54" spans="1:5" ht="45" x14ac:dyDescent="0.25">
      <c r="A54" s="226">
        <f>Exigences!C63</f>
        <v>38</v>
      </c>
      <c r="B54" s="274" t="str">
        <f>Exigences!D63</f>
        <v>Quelles sont vos ressources humaines nécessaire à l'efficacité du SMQ ?</v>
      </c>
      <c r="C54" s="1" t="str">
        <f>Exigences!V63</f>
        <v>Non</v>
      </c>
      <c r="D54" s="385" t="s">
        <v>294</v>
      </c>
      <c r="E54" s="252" t="s">
        <v>303</v>
      </c>
    </row>
    <row r="55" spans="1:5" ht="60.75" customHeight="1" x14ac:dyDescent="0.25">
      <c r="A55" s="226">
        <f>Exigences!C64</f>
        <v>39</v>
      </c>
      <c r="B55" s="274" t="str">
        <f>Exigences!D64</f>
        <v>Comment fournissez-vous les infrastructures nécessaires à l'obtention de la conformité du produit ? 
Avez-vous entretenu ces infrastructures ?</v>
      </c>
      <c r="C55" s="1" t="str">
        <f>Exigences!V64</f>
        <v>Non</v>
      </c>
      <c r="D55" s="385" t="s">
        <v>311</v>
      </c>
      <c r="E55" s="252" t="s">
        <v>447</v>
      </c>
    </row>
    <row r="56" spans="1:5" ht="60.75" customHeight="1" x14ac:dyDescent="0.25">
      <c r="A56" s="226">
        <f>Exigences!C65</f>
        <v>40</v>
      </c>
      <c r="B56" s="274" t="str">
        <f>Exigences!D65</f>
        <v xml:space="preserve">Comment maintenez-vous un environnement approprié à l'obtention de la conformité des produits et services ?
Assurez-vous un environnement de travail sain au niveau social, psychologique et physique ? </v>
      </c>
      <c r="C56" s="1" t="str">
        <f>Exigences!V65</f>
        <v>Non</v>
      </c>
      <c r="D56" s="385" t="s">
        <v>312</v>
      </c>
      <c r="E56" s="252" t="s">
        <v>448</v>
      </c>
    </row>
    <row r="57" spans="1:5" ht="60.75" customHeight="1" x14ac:dyDescent="0.25">
      <c r="A57" s="226">
        <f>Exigences!C66</f>
        <v>41</v>
      </c>
      <c r="B57" s="424" t="str">
        <f>Exigences!D66</f>
        <v xml:space="preserve">Comment démontrez-vous l'adéquation de vos ressources pour la surveillance et la mesure?
Avez-vous spécifié le type d'activités de surveillance de ces ressources ? </v>
      </c>
      <c r="C57" s="1" t="str">
        <f>Exigences!V66</f>
        <v>Oui</v>
      </c>
      <c r="D57" s="651" t="s">
        <v>422</v>
      </c>
      <c r="E57" s="390" t="s">
        <v>316</v>
      </c>
    </row>
    <row r="58" spans="1:5" ht="60.75" customHeight="1" x14ac:dyDescent="0.25">
      <c r="A58" s="226">
        <f>Exigences!C67</f>
        <v>42</v>
      </c>
      <c r="B58" s="424" t="str">
        <f>Exigences!D67</f>
        <v xml:space="preserve">Comment effectuez-vous la traçabilité des équipements de mesure ? </v>
      </c>
      <c r="C58" s="1" t="str">
        <f>Exigences!V67</f>
        <v>Oui</v>
      </c>
      <c r="D58" s="652"/>
      <c r="E58" s="390" t="s">
        <v>316</v>
      </c>
    </row>
    <row r="59" spans="1:5" ht="60.75" customHeight="1" x14ac:dyDescent="0.25">
      <c r="A59" s="226">
        <f>Exigences!C68</f>
        <v>43</v>
      </c>
      <c r="B59" s="380" t="str">
        <f>Exigences!D68</f>
        <v xml:space="preserve">Comment étalonnez et vérifiez-vous vos équipements ? 
Avez-vous un registre des équipements précisant les méthodes et la fréquence d'étalonnage ? </v>
      </c>
      <c r="C59" s="1" t="str">
        <f>Exigences!V68</f>
        <v>Non</v>
      </c>
      <c r="D59" s="385" t="s">
        <v>405</v>
      </c>
      <c r="E59" s="390" t="s">
        <v>316</v>
      </c>
    </row>
    <row r="60" spans="1:5" ht="60.75" customHeight="1" x14ac:dyDescent="0.25">
      <c r="A60" s="226">
        <f>Exigences!C69</f>
        <v>44</v>
      </c>
      <c r="B60" s="424" t="str">
        <f>Exigences!D69</f>
        <v>Comment capitalisez-vous les connaissance dites organisationnelles ? (hors métier)</v>
      </c>
      <c r="C60" s="1" t="str">
        <f>Exigences!V69</f>
        <v>Non</v>
      </c>
      <c r="D60" s="651" t="s">
        <v>401</v>
      </c>
      <c r="E60" s="390" t="s">
        <v>449</v>
      </c>
    </row>
    <row r="61" spans="1:5" ht="27" customHeight="1" x14ac:dyDescent="0.25">
      <c r="A61" s="226">
        <f>Exigences!C70</f>
        <v>45</v>
      </c>
      <c r="B61" s="424" t="str">
        <f>Exigences!D70</f>
        <v>Comment identifiez-vous les connaissances nécessaire pour l'obtention de la conformité ?
Quelles sont vos REX utilisés pour atteindre les objectifs de l'organisme ?</v>
      </c>
      <c r="C61" s="1" t="str">
        <f>Exigences!V70</f>
        <v>Non</v>
      </c>
      <c r="D61" s="652"/>
      <c r="E61" s="252" t="s">
        <v>467</v>
      </c>
    </row>
    <row r="62" spans="1:5" ht="18" x14ac:dyDescent="0.25">
      <c r="A62" s="224" t="str">
        <f>Exigences!C71</f>
        <v>7.2</v>
      </c>
      <c r="B62" s="231" t="str">
        <f>Exigences!D71</f>
        <v>Compétences</v>
      </c>
      <c r="C62" s="172" t="str">
        <f>Exigences!V71</f>
        <v>La preuve doit être documentée ?</v>
      </c>
      <c r="D62" s="172" t="s">
        <v>188</v>
      </c>
      <c r="E62" s="195" t="s">
        <v>296</v>
      </c>
    </row>
    <row r="63" spans="1:5" ht="81" x14ac:dyDescent="0.25">
      <c r="A63" s="226">
        <f>Exigences!C72</f>
        <v>46</v>
      </c>
      <c r="B63" s="274" t="str">
        <f>Exigences!D72</f>
        <v xml:space="preserve">Comment assurez-vous les compétences nécessaires à la réalisation des activités ? </v>
      </c>
      <c r="C63" s="1" t="str">
        <f>Exigences!V72</f>
        <v>Non</v>
      </c>
      <c r="D63" s="638" t="s">
        <v>310</v>
      </c>
      <c r="E63" s="252" t="s">
        <v>450</v>
      </c>
    </row>
    <row r="64" spans="1:5" ht="81" x14ac:dyDescent="0.25">
      <c r="A64" s="226">
        <f>Exigences!C73</f>
        <v>47</v>
      </c>
      <c r="B64" s="274" t="str">
        <f>Exigences!D73</f>
        <v>Comment maintenez-vous les compétences ?</v>
      </c>
      <c r="C64" s="1" t="str">
        <f>Exigences!V73</f>
        <v>Non</v>
      </c>
      <c r="D64" s="649"/>
      <c r="E64" s="252" t="s">
        <v>450</v>
      </c>
    </row>
    <row r="65" spans="1:5" ht="18" x14ac:dyDescent="0.25">
      <c r="A65" s="224" t="str">
        <f>Exigences!C74</f>
        <v>7.3</v>
      </c>
      <c r="B65" s="231" t="str">
        <f>Exigences!D74</f>
        <v>Sensibilisation</v>
      </c>
      <c r="C65" s="172" t="str">
        <f>Exigences!V74</f>
        <v>La preuve doit être documentée ?</v>
      </c>
      <c r="D65" s="172" t="s">
        <v>188</v>
      </c>
      <c r="E65" s="195" t="s">
        <v>296</v>
      </c>
    </row>
    <row r="66" spans="1:5" ht="54" x14ac:dyDescent="0.25">
      <c r="A66" s="226">
        <f>Exigences!C75</f>
        <v>48</v>
      </c>
      <c r="B66" s="274" t="str">
        <f>Exigences!D75</f>
        <v>Comment sensibilisez-vous vos collaborateurs ?
Avez-vous planifié des sensibilisations aux objectifs et à la politique qualité ?</v>
      </c>
      <c r="C66" s="1" t="str">
        <f>Exigences!V75</f>
        <v>Non</v>
      </c>
      <c r="D66" s="290" t="s">
        <v>308</v>
      </c>
      <c r="E66" s="252" t="s">
        <v>443</v>
      </c>
    </row>
    <row r="67" spans="1:5" ht="39.75" customHeight="1" x14ac:dyDescent="0.25">
      <c r="A67" s="226">
        <f>Exigences!C76</f>
        <v>49</v>
      </c>
      <c r="B67" s="382" t="str">
        <f>Exigences!D76</f>
        <v>Comment sensibilisez-vous vos collaborateurs à la sécurité des produits ?</v>
      </c>
      <c r="C67" s="1" t="str">
        <f>Exigences!V76</f>
        <v>Non</v>
      </c>
      <c r="D67" s="267" t="s">
        <v>451</v>
      </c>
      <c r="E67" s="252" t="s">
        <v>324</v>
      </c>
    </row>
    <row r="68" spans="1:5" ht="18" x14ac:dyDescent="0.25">
      <c r="A68" s="224" t="str">
        <f>Exigences!C77</f>
        <v>7.4</v>
      </c>
      <c r="B68" s="231" t="str">
        <f>Exigences!D77</f>
        <v>Communication</v>
      </c>
      <c r="C68" s="172" t="str">
        <f>Exigences!V77</f>
        <v>La preuve doit être documentée ?</v>
      </c>
      <c r="D68" s="172" t="s">
        <v>188</v>
      </c>
      <c r="E68" s="195" t="s">
        <v>296</v>
      </c>
    </row>
    <row r="69" spans="1:5" ht="51.75" customHeight="1" x14ac:dyDescent="0.25">
      <c r="A69" s="226">
        <f>Exigences!C78</f>
        <v>50</v>
      </c>
      <c r="B69" s="424" t="str">
        <f>Exigences!D78</f>
        <v>Comment assurez-vous la communication dans l'organisation?
Avez-vous déterminé des besoins de communication pertinentes pour le SMQ ?</v>
      </c>
      <c r="C69" s="1" t="str">
        <f>Exigences!V78</f>
        <v>Non</v>
      </c>
      <c r="D69" s="638" t="s">
        <v>307</v>
      </c>
      <c r="E69" s="252" t="s">
        <v>325</v>
      </c>
    </row>
    <row r="70" spans="1:5" ht="51.75" customHeight="1" x14ac:dyDescent="0.25">
      <c r="A70" s="226">
        <f>Exigences!C79</f>
        <v>51</v>
      </c>
      <c r="B70" s="274" t="str">
        <f>Exigences!D79</f>
        <v xml:space="preserve">Comment les informations nécessaires sont-elles transmises aux collaborateurs ? </v>
      </c>
      <c r="C70" s="1" t="str">
        <f>Exigences!V79</f>
        <v>Non</v>
      </c>
      <c r="D70" s="649"/>
      <c r="E70" s="252" t="s">
        <v>325</v>
      </c>
    </row>
    <row r="71" spans="1:5" ht="18" x14ac:dyDescent="0.25">
      <c r="A71" s="224" t="str">
        <f>Exigences!C80</f>
        <v>7.5</v>
      </c>
      <c r="B71" s="231" t="str">
        <f>Exigences!D80</f>
        <v>Informations documentées</v>
      </c>
      <c r="C71" s="172" t="str">
        <f>Exigences!V80</f>
        <v>La preuve doit être documentée ?</v>
      </c>
      <c r="D71" s="172" t="s">
        <v>188</v>
      </c>
      <c r="E71" s="195" t="s">
        <v>296</v>
      </c>
    </row>
    <row r="72" spans="1:5" ht="324" x14ac:dyDescent="0.25">
      <c r="A72" s="226">
        <f>Exigences!C81</f>
        <v>52</v>
      </c>
      <c r="B72" s="274" t="str">
        <f>Exigences!D81</f>
        <v xml:space="preserve">Quelles sont les informations documentaires présents dans votre SMQ ?
Quelles sont les documents obligatoires pour la réalisation de vos activités ? </v>
      </c>
      <c r="C72" s="1" t="str">
        <f>Exigences!V81</f>
        <v>Non</v>
      </c>
      <c r="D72" s="290" t="s">
        <v>356</v>
      </c>
      <c r="E72" s="252" t="s">
        <v>468</v>
      </c>
    </row>
    <row r="73" spans="1:5" ht="87.75" customHeight="1" x14ac:dyDescent="0.25">
      <c r="A73" s="226">
        <f>Exigences!C82</f>
        <v>53</v>
      </c>
      <c r="B73" s="274" t="str">
        <f>Exigences!D82</f>
        <v>Quelles sont les éléments qui caractérisent vos informations documentées ? 
Comment savez-vous la dernière version de votre enregistrement ou document?</v>
      </c>
      <c r="C73" s="1" t="str">
        <f>Exigences!V82</f>
        <v>Non</v>
      </c>
      <c r="D73" s="638" t="s">
        <v>452</v>
      </c>
      <c r="E73" s="252" t="s">
        <v>649</v>
      </c>
    </row>
    <row r="74" spans="1:5" ht="90.75" customHeight="1" x14ac:dyDescent="0.25">
      <c r="A74" s="226">
        <f>Exigences!C83</f>
        <v>54</v>
      </c>
      <c r="B74" s="274" t="str">
        <f>Exigences!D83</f>
        <v>Comment maîtrisez-vous votre base documentaire ? 
Existe-t-il un document assurant la disponibilité, la protection, la conservation et l'élimination des informations documentées ? 
Avez-vous une méthodologie permettant le contrôle de version de chaque modification ?</v>
      </c>
      <c r="C74" s="1" t="str">
        <f>Exigences!V83</f>
        <v>Non</v>
      </c>
      <c r="D74" s="649"/>
      <c r="E74" s="252" t="s">
        <v>649</v>
      </c>
    </row>
    <row r="75" spans="1:5" ht="36" x14ac:dyDescent="0.25">
      <c r="A75" s="226">
        <f>Exigences!C84</f>
        <v>55</v>
      </c>
      <c r="B75" s="274" t="str">
        <f>Exigences!D84</f>
        <v>Quelles sont les documents conservées preuve de conformité ?
Quelles sont les documents que vous jugez nécessaire au fonctionnement de votre système ?
Comment accédez-vous à la documentation utile ?</v>
      </c>
      <c r="C75" s="1" t="str">
        <f>Exigences!V84</f>
        <v>Non</v>
      </c>
      <c r="D75" s="453" t="s">
        <v>650</v>
      </c>
      <c r="E75" s="390" t="s">
        <v>444</v>
      </c>
    </row>
    <row r="76" spans="1:5" ht="36" x14ac:dyDescent="0.25">
      <c r="A76" s="226">
        <f>Exigences!C85</f>
        <v>56</v>
      </c>
      <c r="B76" s="382" t="str">
        <f>Exigences!D85</f>
        <v>En cas de gestion électronique des documents, comment protégez-vous vos données ? 
(protection contre les pertes, les modifications non autorisées, les dommages physiques...).</v>
      </c>
      <c r="C76" s="1" t="str">
        <f>Exigences!V85</f>
        <v>Non</v>
      </c>
      <c r="D76" s="290" t="s">
        <v>357</v>
      </c>
      <c r="E76" s="252" t="s">
        <v>326</v>
      </c>
    </row>
    <row r="77" spans="1:5" x14ac:dyDescent="0.25">
      <c r="A77" s="223">
        <f>Exigences!C86</f>
        <v>8</v>
      </c>
      <c r="B77" s="230" t="str">
        <f>Exigences!D86</f>
        <v>Réalisation des activités opérationnelles</v>
      </c>
      <c r="C77" s="653" t="s">
        <v>100</v>
      </c>
      <c r="D77" s="765"/>
      <c r="E77" s="196" t="s">
        <v>296</v>
      </c>
    </row>
    <row r="78" spans="1:5" ht="18" x14ac:dyDescent="0.25">
      <c r="A78" s="224" t="str">
        <f>Exigences!C87</f>
        <v>8.1</v>
      </c>
      <c r="B78" s="231" t="str">
        <f>Exigences!D87</f>
        <v>Planification et maîtrise opérationnelles</v>
      </c>
      <c r="C78" s="172" t="str">
        <f>Exigences!V87</f>
        <v>La preuve doit être documentée ?</v>
      </c>
      <c r="D78" s="172" t="s">
        <v>188</v>
      </c>
      <c r="E78" s="195" t="s">
        <v>296</v>
      </c>
    </row>
    <row r="79" spans="1:5" ht="108.75" customHeight="1" x14ac:dyDescent="0.25">
      <c r="A79" s="226">
        <f>Exigences!C88</f>
        <v>57</v>
      </c>
      <c r="B79" s="274" t="str">
        <f>Exigences!D88</f>
        <v>Avez-vous planifié et développé les processus nécessaire à la réalisation du produit et services ? 
Avez-vous déterminé les exigences relatives à ces produits et services ? 
Comment assurez-vous leur conformité ?</v>
      </c>
      <c r="C79" s="1" t="str">
        <f>Exigences!V88</f>
        <v>Oui</v>
      </c>
      <c r="D79" s="384" t="s">
        <v>327</v>
      </c>
      <c r="E79" s="390" t="s">
        <v>454</v>
      </c>
    </row>
    <row r="80" spans="1:5" ht="51" customHeight="1" x14ac:dyDescent="0.25">
      <c r="A80" s="226">
        <f>Exigences!C89</f>
        <v>58</v>
      </c>
      <c r="B80" s="382" t="str">
        <f>Exigences!D89</f>
        <v xml:space="preserve">Comment gérez-vous les éléments critiques ? </v>
      </c>
      <c r="C80" s="1" t="str">
        <f>Exigences!V89</f>
        <v>Non</v>
      </c>
      <c r="D80" s="384" t="s">
        <v>418</v>
      </c>
      <c r="E80" s="252" t="s">
        <v>455</v>
      </c>
    </row>
    <row r="81" spans="1:7" ht="123" customHeight="1" x14ac:dyDescent="0.25">
      <c r="A81" s="226">
        <f>Exigences!C90</f>
        <v>59</v>
      </c>
      <c r="B81" s="382" t="str">
        <f>Exigences!D90</f>
        <v xml:space="preserve">Comment définissez-vous la gestion des risques liées aux activités opérationnelles ? 
Avez-vous identifié, évalué et communiqué ces risques ? </v>
      </c>
      <c r="C81" s="1" t="str">
        <f>Exigences!V90</f>
        <v>Non</v>
      </c>
      <c r="D81" s="384" t="s">
        <v>428</v>
      </c>
      <c r="E81" s="252" t="s">
        <v>456</v>
      </c>
    </row>
    <row r="82" spans="1:7" ht="93.75" customHeight="1" x14ac:dyDescent="0.25">
      <c r="A82" s="226">
        <f>Exigences!C91</f>
        <v>60</v>
      </c>
      <c r="B82" s="382" t="str">
        <f>Exigences!D91</f>
        <v xml:space="preserve">Comment assurez-vous la gestion de la configuration approprié à l'organisme? 
Avez-vous maitrisé l'identité et la traçabilité du produit par rapport aux exigences ? </v>
      </c>
      <c r="C82" s="1" t="str">
        <f>Exigences!V91</f>
        <v>Non</v>
      </c>
      <c r="D82" s="386" t="s">
        <v>420</v>
      </c>
      <c r="E82" s="252" t="s">
        <v>457</v>
      </c>
    </row>
    <row r="83" spans="1:7" ht="45" x14ac:dyDescent="0.25">
      <c r="A83" s="226">
        <f>Exigences!C92</f>
        <v>61</v>
      </c>
      <c r="B83" s="382" t="str">
        <f>Exigences!D92</f>
        <v>Comment assurez-vous la sécurité du produit pendant toute la durée de son cycle de vie ?</v>
      </c>
      <c r="C83" s="1" t="str">
        <f>Exigences!V92</f>
        <v>Non</v>
      </c>
      <c r="D83" s="384" t="s">
        <v>421</v>
      </c>
      <c r="E83" s="252" t="s">
        <v>458</v>
      </c>
    </row>
    <row r="84" spans="1:7" ht="36" x14ac:dyDescent="0.25">
      <c r="A84" s="226">
        <f>Exigences!C93</f>
        <v>62</v>
      </c>
      <c r="B84" s="382" t="str">
        <f>Exigences!D93</f>
        <v xml:space="preserve">Comment prévenez-vous l'utilisation des pièces contrefaites ? 
</v>
      </c>
      <c r="C84" s="1" t="str">
        <f>Exigences!V93</f>
        <v>Non</v>
      </c>
      <c r="D84" s="267" t="s">
        <v>429</v>
      </c>
      <c r="E84" s="252" t="s">
        <v>459</v>
      </c>
    </row>
    <row r="85" spans="1:7" ht="18" x14ac:dyDescent="0.25">
      <c r="A85" s="224" t="str">
        <f>Exigences!C94</f>
        <v>8.2</v>
      </c>
      <c r="B85" s="231" t="str">
        <f>Exigences!D94</f>
        <v>Exigences relatives aux produits et services</v>
      </c>
      <c r="C85" s="172" t="str">
        <f>Exigences!V94</f>
        <v>La preuve doit être documentée ?</v>
      </c>
      <c r="D85" s="172" t="s">
        <v>188</v>
      </c>
      <c r="E85" s="195" t="s">
        <v>296</v>
      </c>
    </row>
    <row r="86" spans="1:7" ht="63" x14ac:dyDescent="0.25">
      <c r="A86" s="226">
        <f>Exigences!C95</f>
        <v>63</v>
      </c>
      <c r="B86" s="274" t="str">
        <f>Exigences!D95</f>
        <v xml:space="preserve">Comment sont les échanges avec vos clients ? 
Maîtrisez-vous la propriété de vos clients ? </v>
      </c>
      <c r="C86" s="1" t="str">
        <f>Exigences!V95</f>
        <v>Non</v>
      </c>
      <c r="D86" s="372" t="s">
        <v>330</v>
      </c>
      <c r="E86" s="252" t="s">
        <v>460</v>
      </c>
    </row>
    <row r="87" spans="1:7" ht="54" x14ac:dyDescent="0.25">
      <c r="A87" s="226">
        <f>Exigences!C96</f>
        <v>64</v>
      </c>
      <c r="B87" s="274" t="str">
        <f>Exigences!D96</f>
        <v>Comment gérez-vous les réclamations relatives aux produits et services ? 
Comment traitez-vous les insatisfactions ?</v>
      </c>
      <c r="C87" s="1" t="str">
        <f>Exigences!V96</f>
        <v>Non</v>
      </c>
      <c r="D87" s="372" t="s">
        <v>332</v>
      </c>
      <c r="E87" s="252" t="s">
        <v>469</v>
      </c>
    </row>
    <row r="88" spans="1:7" ht="27" x14ac:dyDescent="0.25">
      <c r="A88" s="226">
        <f>Exigences!C97</f>
        <v>65</v>
      </c>
      <c r="B88" s="382" t="str">
        <f>Exigences!D97</f>
        <v xml:space="preserve">Comment déterminez-vous les exigences spéciales des produits et services ? </v>
      </c>
      <c r="C88" s="1" t="str">
        <f>Exigences!V97</f>
        <v>Non</v>
      </c>
      <c r="D88" s="372" t="s">
        <v>333</v>
      </c>
      <c r="E88" s="252" t="s">
        <v>470</v>
      </c>
    </row>
    <row r="89" spans="1:7" ht="33.75" customHeight="1" x14ac:dyDescent="0.25">
      <c r="A89" s="226">
        <f>Exigences!C98</f>
        <v>66</v>
      </c>
      <c r="B89" s="274" t="str">
        <f>Exigences!D98</f>
        <v>Comment réalisez-vous les revues des exigences relatives aux produits et services ?
Avez-vous un document prouvant la satisfaction des exigences clients ?</v>
      </c>
      <c r="C89" s="1" t="str">
        <f>Exigences!V98</f>
        <v>Oui</v>
      </c>
      <c r="D89" s="638" t="s">
        <v>336</v>
      </c>
      <c r="E89" s="252" t="s">
        <v>471</v>
      </c>
    </row>
    <row r="90" spans="1:7" ht="63" x14ac:dyDescent="0.25">
      <c r="A90" s="226">
        <f>Exigences!C99</f>
        <v>67</v>
      </c>
      <c r="B90" s="274" t="str">
        <f>Exigences!D99</f>
        <v>En cas de modification des exigences, comment assurez-vous la mise à jour des documents et la communication au personnel concerné?</v>
      </c>
      <c r="C90" s="1" t="str">
        <f>Exigences!V99</f>
        <v>Oui</v>
      </c>
      <c r="D90" s="649"/>
      <c r="E90" s="252" t="s">
        <v>473</v>
      </c>
    </row>
    <row r="91" spans="1:7" ht="18" x14ac:dyDescent="0.25">
      <c r="A91" s="224" t="str">
        <f>Exigences!C100</f>
        <v>8.3</v>
      </c>
      <c r="B91" s="231" t="str">
        <f>Exigences!D100</f>
        <v>Conception et développement de produits et services</v>
      </c>
      <c r="C91" s="172" t="str">
        <f>Exigences!V100</f>
        <v>La preuve doit être documentée ?</v>
      </c>
      <c r="D91" s="172" t="s">
        <v>188</v>
      </c>
      <c r="E91" s="195" t="s">
        <v>296</v>
      </c>
    </row>
    <row r="92" spans="1:7" x14ac:dyDescent="0.25">
      <c r="A92" s="226">
        <f>Exigences!C101</f>
        <v>68</v>
      </c>
      <c r="B92" s="274" t="str">
        <f>Exigences!D101</f>
        <v>Avez-vous un processus de conception et de développement?</v>
      </c>
      <c r="C92" s="1" t="str">
        <f>Exigences!V101</f>
        <v>Non</v>
      </c>
      <c r="D92" s="384" t="s">
        <v>339</v>
      </c>
      <c r="E92" s="252" t="s">
        <v>472</v>
      </c>
    </row>
    <row r="93" spans="1:7" ht="225" x14ac:dyDescent="0.25">
      <c r="A93" s="226">
        <f>Exigences!C102</f>
        <v>69</v>
      </c>
      <c r="B93" s="274" t="str">
        <f>Exigences!D102</f>
        <v xml:space="preserve">Comment planifiez-vous la conception et le développement des produits et services ?
Avez-vous identifié la durée nécessaire pour la réalisation des activités ? </v>
      </c>
      <c r="C93" s="1" t="str">
        <f>Exigences!V102</f>
        <v>Non</v>
      </c>
      <c r="D93" s="638" t="s">
        <v>340</v>
      </c>
      <c r="E93" s="252" t="s">
        <v>474</v>
      </c>
    </row>
    <row r="94" spans="1:7" ht="225" x14ac:dyDescent="0.25">
      <c r="A94" s="226">
        <f>Exigences!C103</f>
        <v>70</v>
      </c>
      <c r="B94" s="382" t="str">
        <f>Exigences!D103</f>
        <v xml:space="preserve">Comment répartissez-vous les activités de conception et développement ? 
Avez-vous identifié les tâches, les ressources et les responsables nécessaires pour chaque activité ? </v>
      </c>
      <c r="C94" s="1" t="str">
        <f>Exigences!V103</f>
        <v>Non</v>
      </c>
      <c r="D94" s="649"/>
      <c r="E94" s="252" t="s">
        <v>474</v>
      </c>
      <c r="G94" s="394"/>
    </row>
    <row r="95" spans="1:7" ht="108" x14ac:dyDescent="0.25">
      <c r="A95" s="226">
        <f>Exigences!C104</f>
        <v>71</v>
      </c>
      <c r="B95" s="274" t="str">
        <f>Exigences!D104</f>
        <v>Quels sont les éléments d'entrée de votre processus C&amp;D?</v>
      </c>
      <c r="C95" s="1" t="str">
        <f>Exigences!V104</f>
        <v>Oui</v>
      </c>
      <c r="D95" s="384" t="s">
        <v>346</v>
      </c>
      <c r="E95" s="252" t="s">
        <v>475</v>
      </c>
    </row>
    <row r="96" spans="1:7" ht="81" x14ac:dyDescent="0.25">
      <c r="A96" s="226">
        <f>Exigences!C105</f>
        <v>72</v>
      </c>
      <c r="B96" s="274" t="str">
        <f>Exigences!D105</f>
        <v>Qu'avez-vous identifié comme élément de sortie du processus C&amp;D?</v>
      </c>
      <c r="C96" s="1" t="str">
        <f>Exigences!V105</f>
        <v>Oui</v>
      </c>
      <c r="D96" s="384" t="s">
        <v>347</v>
      </c>
      <c r="E96" s="252" t="s">
        <v>476</v>
      </c>
    </row>
    <row r="97" spans="1:7" ht="108" x14ac:dyDescent="0.25">
      <c r="A97" s="226">
        <f>Exigences!C106</f>
        <v>73</v>
      </c>
      <c r="B97" s="274" t="str">
        <f>Exigences!D106</f>
        <v xml:space="preserve">Comment assurez-vous la maîtrise du processus C&amp;D?
Avez-vous vérifié la conformité et mesurez les écarts entre les éléments de sortie et les exigences d'entrée ? </v>
      </c>
      <c r="C97" s="1" t="str">
        <f>Exigences!V106</f>
        <v>Oui</v>
      </c>
      <c r="D97" s="384" t="s">
        <v>342</v>
      </c>
      <c r="E97" s="252" t="s">
        <v>477</v>
      </c>
    </row>
    <row r="98" spans="1:7" ht="72" x14ac:dyDescent="0.25">
      <c r="A98" s="226">
        <f>Exigences!C107</f>
        <v>74</v>
      </c>
      <c r="B98" s="382" t="str">
        <f>Exigences!D107</f>
        <v>Quels sont les éléments de votre revue de conception ?</v>
      </c>
      <c r="C98" s="1" t="str">
        <f>Exigences!V107</f>
        <v>Non</v>
      </c>
      <c r="D98" s="384" t="s">
        <v>343</v>
      </c>
      <c r="E98" s="252" t="s">
        <v>479</v>
      </c>
      <c r="G98" s="395"/>
    </row>
    <row r="99" spans="1:7" ht="153" x14ac:dyDescent="0.25">
      <c r="A99" s="226">
        <f>Exigences!C108</f>
        <v>75</v>
      </c>
      <c r="B99" s="382" t="str">
        <f>Exigences!D108</f>
        <v xml:space="preserve">Existe-t-il un document décrivant la vérification et la validation des essais ?
Avez-vous une procédure d'essai décrivant les méthodes et les modes d'exécution à utiliser ? </v>
      </c>
      <c r="C99" s="1" t="str">
        <f>Exigences!V108</f>
        <v>Oui</v>
      </c>
      <c r="D99" s="386" t="s">
        <v>488</v>
      </c>
      <c r="E99" s="252" t="s">
        <v>486</v>
      </c>
    </row>
    <row r="100" spans="1:7" ht="153" x14ac:dyDescent="0.25">
      <c r="A100" s="226">
        <f>Exigences!C109</f>
        <v>76</v>
      </c>
      <c r="B100" s="382" t="str">
        <f>Exigences!D109</f>
        <v xml:space="preserve">Comment maîtrisez-vous les évolutions de la conception et du développement ? 
Avez-vous un processus de gestion de la configuration ? </v>
      </c>
      <c r="C100" s="1" t="str">
        <f>Exigences!V109</f>
        <v>Oui</v>
      </c>
      <c r="D100" s="386" t="s">
        <v>487</v>
      </c>
      <c r="E100" s="252" t="s">
        <v>486</v>
      </c>
    </row>
    <row r="101" spans="1:7" ht="54" x14ac:dyDescent="0.25">
      <c r="A101" s="226">
        <f>Exigences!C110</f>
        <v>75</v>
      </c>
      <c r="B101" s="274" t="str">
        <f>Exigences!D110</f>
        <v>En cas de modification dans le processus C&amp;D, comment assurez-vous la conformité aux exigences ? 
Avez-vous mis en place un plan d'action pour prévenir les impacts négatifs de ces modifications ?</v>
      </c>
      <c r="C101" s="1" t="str">
        <f>Exigences!V110</f>
        <v>Oui</v>
      </c>
      <c r="D101" s="267" t="s">
        <v>349</v>
      </c>
      <c r="E101" s="252" t="s">
        <v>481</v>
      </c>
    </row>
    <row r="102" spans="1:7" ht="18" x14ac:dyDescent="0.25">
      <c r="A102" s="224" t="str">
        <f>Exigences!C111</f>
        <v>8.4</v>
      </c>
      <c r="B102" s="231" t="str">
        <f>Exigences!D111</f>
        <v>Maîtrise des processus, produits et services fournis par des prestataires externes</v>
      </c>
      <c r="C102" s="172" t="str">
        <f>Exigences!V111</f>
        <v>La preuve doit être documentée ?</v>
      </c>
      <c r="D102" s="172" t="s">
        <v>188</v>
      </c>
      <c r="E102" s="195" t="s">
        <v>296</v>
      </c>
    </row>
    <row r="103" spans="1:7" ht="171" x14ac:dyDescent="0.25">
      <c r="A103" s="226">
        <f>Exigences!C112</f>
        <v>76</v>
      </c>
      <c r="B103" s="274" t="str">
        <f>Exigences!D112</f>
        <v>Comment sélectionnez-vous vos différents prestataires externes (fournisseurs) ? 
Comment sélectionnez-vous vos fournisseurs pour les commandes ?</v>
      </c>
      <c r="C103" s="1" t="str">
        <f>Exigences!V112</f>
        <v>Oui</v>
      </c>
      <c r="D103" s="638" t="s">
        <v>353</v>
      </c>
      <c r="E103" s="252" t="s">
        <v>483</v>
      </c>
    </row>
    <row r="104" spans="1:7" ht="171" x14ac:dyDescent="0.25">
      <c r="A104" s="226">
        <f>Exigences!C113</f>
        <v>77</v>
      </c>
      <c r="B104" s="274" t="str">
        <f>Exigences!D113</f>
        <v>Comment classez-vous vos fournisseurs ?</v>
      </c>
      <c r="C104" s="1" t="str">
        <f>Exigences!V113</f>
        <v>Oui</v>
      </c>
      <c r="D104" s="639"/>
      <c r="E104" s="252" t="s">
        <v>483</v>
      </c>
    </row>
    <row r="105" spans="1:7" ht="171" x14ac:dyDescent="0.25">
      <c r="A105" s="226">
        <f>Exigences!C114</f>
        <v>78</v>
      </c>
      <c r="B105" s="274" t="str">
        <f>Exigences!D114</f>
        <v>Comment évaluez-vous vos prestataires ? 
Avez-vous des critères définis pour choisir les fournisseurs à évaluer ?</v>
      </c>
      <c r="C105" s="1" t="str">
        <f>Exigences!V114</f>
        <v>Oui</v>
      </c>
      <c r="D105" s="639"/>
      <c r="E105" s="252" t="s">
        <v>483</v>
      </c>
    </row>
    <row r="106" spans="1:7" ht="171" x14ac:dyDescent="0.25">
      <c r="A106" s="226">
        <f>Exigences!C115</f>
        <v>79</v>
      </c>
      <c r="B106" s="274" t="str">
        <f>Exigences!D115</f>
        <v>Comment faites-vous les référencements des prestataires ? 
Qui peut référencer un nouveau fournisseur ?</v>
      </c>
      <c r="C106" s="1" t="str">
        <f>Exigences!V115</f>
        <v>Oui</v>
      </c>
      <c r="D106" s="639"/>
      <c r="E106" s="252" t="s">
        <v>483</v>
      </c>
    </row>
    <row r="107" spans="1:7" ht="171" x14ac:dyDescent="0.25">
      <c r="A107" s="226">
        <f>Exigences!C116</f>
        <v>80</v>
      </c>
      <c r="B107" s="274" t="str">
        <f>Exigences!D116</f>
        <v xml:space="preserve">Comment réalisez-vous le suivi de vos fournisseurs ? </v>
      </c>
      <c r="C107" s="1" t="str">
        <f>Exigences!V116</f>
        <v>Oui</v>
      </c>
      <c r="D107" s="639"/>
      <c r="E107" s="252" t="s">
        <v>483</v>
      </c>
    </row>
    <row r="108" spans="1:7" ht="171" x14ac:dyDescent="0.25">
      <c r="A108" s="226">
        <f>Exigences!C117</f>
        <v>81</v>
      </c>
      <c r="B108" s="274" t="str">
        <f>Exigences!D117</f>
        <v>Comment gérez-vous les non-conformité de vos prestataires ? 
Comment gérez un déréférencement fournisseurs ?</v>
      </c>
      <c r="C108" s="1" t="str">
        <f>Exigences!V117</f>
        <v>Oui</v>
      </c>
      <c r="D108" s="649"/>
      <c r="E108" s="252" t="s">
        <v>483</v>
      </c>
    </row>
    <row r="109" spans="1:7" ht="171" x14ac:dyDescent="0.25">
      <c r="A109" s="226">
        <f>Exigences!C118</f>
        <v>82</v>
      </c>
      <c r="B109" s="274" t="str">
        <f>Exigences!D118</f>
        <v>Comment assurez-vous de la conformité du produit acheté par rapport aux exigences définies par vos clients ?
Quels sont les contrôles effectuées lors de la réception ?</v>
      </c>
      <c r="C109" s="1" t="str">
        <f>Exigences!V118</f>
        <v>Non</v>
      </c>
      <c r="D109" s="638" t="s">
        <v>363</v>
      </c>
      <c r="E109" s="252" t="s">
        <v>483</v>
      </c>
    </row>
    <row r="110" spans="1:7" ht="54" x14ac:dyDescent="0.25">
      <c r="A110" s="226">
        <f>Exigences!C119</f>
        <v>83</v>
      </c>
      <c r="B110" s="382" t="str">
        <f>Exigences!D119</f>
        <v>Lorsqu'un produit acheté est libéré sans avoir eu toutes les vérifications prévues pour utilisation, comment est-il identifié et enregistré afin de permettre son rappel si besoin ?</v>
      </c>
      <c r="C110" s="1" t="str">
        <f>Exigences!V119</f>
        <v>Non</v>
      </c>
      <c r="D110" s="649"/>
      <c r="E110" s="252" t="s">
        <v>484</v>
      </c>
    </row>
    <row r="111" spans="1:7" ht="36.75" customHeight="1" x14ac:dyDescent="0.25">
      <c r="A111" s="226">
        <f>Exigences!C120</f>
        <v>84</v>
      </c>
      <c r="B111" s="274" t="str">
        <f>Exigences!D120</f>
        <v xml:space="preserve">Comment réalisez-vous les audits de prestataires ?
A quelle fréquences ? Quel est l'acteur ? </v>
      </c>
      <c r="C111" s="1" t="str">
        <f>Exigences!V120</f>
        <v>Non</v>
      </c>
      <c r="D111" s="638" t="s">
        <v>362</v>
      </c>
      <c r="E111" s="252" t="s">
        <v>483</v>
      </c>
    </row>
    <row r="112" spans="1:7" ht="360.75" customHeight="1" x14ac:dyDescent="0.25">
      <c r="A112" s="226">
        <f>Exigences!C121</f>
        <v>85</v>
      </c>
      <c r="B112" s="274" t="str">
        <f>Exigences!D121</f>
        <v xml:space="preserve">Quelles informations communiquez-vous à vos prestataires ? </v>
      </c>
      <c r="C112" s="1" t="str">
        <f>Exigences!V121</f>
        <v>Oui</v>
      </c>
      <c r="D112" s="649"/>
      <c r="E112" s="252" t="s">
        <v>485</v>
      </c>
    </row>
    <row r="113" spans="1:5" ht="18" x14ac:dyDescent="0.25">
      <c r="A113" s="224" t="str">
        <f>Exigences!C122</f>
        <v>8.5</v>
      </c>
      <c r="B113" s="231" t="str">
        <f>Exigences!D122</f>
        <v>Production et prestation de service</v>
      </c>
      <c r="C113" s="172" t="str">
        <f>Exigences!V122</f>
        <v>La preuve doit être documentée ?</v>
      </c>
      <c r="D113" s="172" t="s">
        <v>188</v>
      </c>
      <c r="E113" s="253" t="s">
        <v>296</v>
      </c>
    </row>
    <row r="114" spans="1:5" ht="108" x14ac:dyDescent="0.25">
      <c r="A114" s="226">
        <f>Exigences!C123</f>
        <v>86</v>
      </c>
      <c r="B114" s="274" t="str">
        <f>Exigences!D123</f>
        <v xml:space="preserve">Comment mettez-vous en œuvre la production et la prestation de service dans des conditions maitrisées ?
Comment définissez-vous votre processus de réalisation ? </v>
      </c>
      <c r="C114" s="1" t="str">
        <f>Exigences!V123</f>
        <v>Oui</v>
      </c>
      <c r="D114" s="638" t="s">
        <v>367</v>
      </c>
      <c r="E114" s="410" t="s">
        <v>515</v>
      </c>
    </row>
    <row r="115" spans="1:5" ht="46.5" customHeight="1" x14ac:dyDescent="0.25">
      <c r="A115" s="226">
        <f>Exigences!C124</f>
        <v>87</v>
      </c>
      <c r="B115" s="274" t="str">
        <f>Exigences!D124</f>
        <v>Comment maîtrisez-vous la réalisation?
Identifiez-vous le produit tout au long de sa réalisation? 
Avez-vous identifiez des points à contrôler en cours de production ?</v>
      </c>
      <c r="C115" s="1" t="str">
        <f>Exigences!V124</f>
        <v>Oui</v>
      </c>
      <c r="D115" s="649"/>
      <c r="E115" s="232"/>
    </row>
    <row r="116" spans="1:5" ht="72" x14ac:dyDescent="0.25">
      <c r="A116" s="226">
        <f>Exigences!C125</f>
        <v>88</v>
      </c>
      <c r="B116" s="382" t="str">
        <f>Exigences!D125</f>
        <v xml:space="preserve">Comment maîtrisez-vous les procédés spéciaux ?
Avez-vous définis des critères de revue et d'approbation des procédés ? </v>
      </c>
      <c r="C116" s="1" t="str">
        <f>Exigences!V125</f>
        <v>Oui</v>
      </c>
      <c r="D116" s="638" t="s">
        <v>369</v>
      </c>
      <c r="E116" s="252" t="s">
        <v>516</v>
      </c>
    </row>
    <row r="117" spans="1:5" ht="45" x14ac:dyDescent="0.25">
      <c r="A117" s="226">
        <f>Exigences!C126</f>
        <v>89</v>
      </c>
      <c r="B117" s="382" t="str">
        <f>Exigences!D126</f>
        <v xml:space="preserve">Comment vérifiez-vous vos procédés de production ? </v>
      </c>
      <c r="C117" s="1" t="str">
        <f>Exigences!V126</f>
        <v>Oui</v>
      </c>
      <c r="D117" s="639"/>
      <c r="E117" s="252" t="s">
        <v>517</v>
      </c>
    </row>
    <row r="118" spans="1:5" ht="36" x14ac:dyDescent="0.25">
      <c r="A118" s="226">
        <f>Exigences!C127</f>
        <v>90</v>
      </c>
      <c r="B118" s="274" t="str">
        <f>Exigences!D127</f>
        <v xml:space="preserve">Comment assurez-vous la traçabilité des livrables ? </v>
      </c>
      <c r="C118" s="1" t="str">
        <f>Exigences!V127</f>
        <v>Oui</v>
      </c>
      <c r="D118" s="377" t="s">
        <v>371</v>
      </c>
      <c r="E118" s="232"/>
    </row>
    <row r="119" spans="1:5" ht="45" x14ac:dyDescent="0.25">
      <c r="A119" s="226">
        <f>Exigences!C128</f>
        <v>91</v>
      </c>
      <c r="B119" s="274" t="str">
        <f>Exigences!D128</f>
        <v xml:space="preserve">Comment gérez-vous la confidentialité et la propriété des clients et des prestataires ? 
En cas d'endommagement des données personnelles d'un client ou d'un fournisseur, que faites vous ? </v>
      </c>
      <c r="C119" s="1" t="str">
        <f>Exigences!V128</f>
        <v>Oui</v>
      </c>
      <c r="D119" s="377" t="s">
        <v>445</v>
      </c>
      <c r="E119" s="232"/>
    </row>
    <row r="120" spans="1:5" ht="27" x14ac:dyDescent="0.25">
      <c r="A120" s="226">
        <f>Exigences!C129</f>
        <v>92</v>
      </c>
      <c r="B120" s="274" t="str">
        <f>Exigences!D129</f>
        <v>Comment gérez-vous la préservation des éléments de sortie au cours de la production et la prestation de service ? 
Avez-vous identifié les condition particulières de stockage des produits sensibles ?</v>
      </c>
      <c r="C120" s="1" t="str">
        <f>Exigences!V129</f>
        <v>Non</v>
      </c>
      <c r="D120" s="377" t="s">
        <v>374</v>
      </c>
      <c r="E120" s="232"/>
    </row>
    <row r="121" spans="1:5" ht="27" x14ac:dyDescent="0.25">
      <c r="A121" s="226">
        <f>Exigences!C130</f>
        <v>93</v>
      </c>
      <c r="B121" s="274" t="str">
        <f>Exigences!D130</f>
        <v>Comment gérez-vous les activités après livraison associées aux produits et services ?
Comment vous assurez-vous de fournir les informations utiles au support après vente ?</v>
      </c>
      <c r="C121" s="1" t="str">
        <f>Exigences!V130</f>
        <v>Non</v>
      </c>
      <c r="D121" s="638" t="s">
        <v>377</v>
      </c>
      <c r="E121" s="232"/>
    </row>
    <row r="122" spans="1:5" ht="18" x14ac:dyDescent="0.25">
      <c r="A122" s="226">
        <f>Exigences!C131</f>
        <v>94</v>
      </c>
      <c r="B122" s="274" t="str">
        <f>Exigences!D131</f>
        <v xml:space="preserve">En cas de détection des problèmes après livraison, que faites vous ? 
Avez-vous des actions appropriés à mener face à ces problèmes ? </v>
      </c>
      <c r="C122" s="1" t="str">
        <f>Exigences!V131</f>
        <v>Non</v>
      </c>
      <c r="D122" s="649"/>
      <c r="E122" s="232"/>
    </row>
    <row r="123" spans="1:5" ht="27" x14ac:dyDescent="0.25">
      <c r="A123" s="226">
        <f>Exigences!C132</f>
        <v>95</v>
      </c>
      <c r="B123" s="274" t="str">
        <f>Exigences!D132</f>
        <v>Comment gérez-vous les modifications relatives à la réalisation ? 
Avez-vous identifié une personne à approuver les modifications ?</v>
      </c>
      <c r="C123" s="1" t="str">
        <f>Exigences!V132</f>
        <v>Oui</v>
      </c>
      <c r="D123" s="267" t="s">
        <v>446</v>
      </c>
      <c r="E123" s="232"/>
    </row>
    <row r="124" spans="1:5" ht="18" x14ac:dyDescent="0.25">
      <c r="A124" s="224" t="str">
        <f>Exigences!C133</f>
        <v>8.6</v>
      </c>
      <c r="B124" s="231" t="str">
        <f>Exigences!D133</f>
        <v>Libération des produits et services</v>
      </c>
      <c r="C124" s="172" t="str">
        <f>Exigences!V133</f>
        <v>La preuve doit être documentée ?</v>
      </c>
      <c r="D124" s="172" t="s">
        <v>188</v>
      </c>
      <c r="E124" s="195" t="s">
        <v>296</v>
      </c>
    </row>
    <row r="125" spans="1:5" ht="126" x14ac:dyDescent="0.25">
      <c r="A125" s="226">
        <f>Exigences!C134</f>
        <v>96</v>
      </c>
      <c r="B125" s="274" t="str">
        <f>Exigences!D134</f>
        <v>Comment définissez-vous les critères d'acceptation du produit ?</v>
      </c>
      <c r="C125" s="1" t="str">
        <f>Exigences!V134</f>
        <v>Oui</v>
      </c>
      <c r="D125" s="638" t="s">
        <v>380</v>
      </c>
      <c r="E125" s="252" t="s">
        <v>519</v>
      </c>
    </row>
    <row r="126" spans="1:5" ht="126" x14ac:dyDescent="0.25">
      <c r="A126" s="226">
        <f>Exigences!C135</f>
        <v>97</v>
      </c>
      <c r="B126" s="274" t="str">
        <f>Exigences!D135</f>
        <v xml:space="preserve">Avez-vous rédigé un document prouvant que votre produit est conforme aux critères d'acceptation ? </v>
      </c>
      <c r="C126" s="1" t="str">
        <f>Exigences!V135</f>
        <v>Oui</v>
      </c>
      <c r="D126" s="649"/>
      <c r="E126" s="252" t="s">
        <v>519</v>
      </c>
    </row>
    <row r="127" spans="1:5" ht="18" x14ac:dyDescent="0.25">
      <c r="A127" s="224" t="str">
        <f>Exigences!C136</f>
        <v>8.7</v>
      </c>
      <c r="B127" s="231" t="str">
        <f>Exigences!D136</f>
        <v>Maîtrise des éléments de sortie non conformes</v>
      </c>
      <c r="C127" s="172" t="str">
        <f>Exigences!V136</f>
        <v>La preuve doit être documentée ?</v>
      </c>
      <c r="D127" s="172" t="s">
        <v>188</v>
      </c>
      <c r="E127" s="195" t="s">
        <v>296</v>
      </c>
    </row>
    <row r="128" spans="1:5" x14ac:dyDescent="0.25">
      <c r="A128" s="226">
        <f>Exigences!C137</f>
        <v>98</v>
      </c>
      <c r="B128" s="274" t="str">
        <f>Exigences!D137</f>
        <v>Comment sont-elles captés, enregistrées et traités les non-conformités ?</v>
      </c>
      <c r="C128" s="1" t="str">
        <f>Exigences!V137</f>
        <v>Oui</v>
      </c>
      <c r="D128" s="638" t="s">
        <v>399</v>
      </c>
      <c r="E128" s="232"/>
    </row>
    <row r="129" spans="1:5" x14ac:dyDescent="0.25">
      <c r="A129" s="226">
        <f>Exigences!C138</f>
        <v>99</v>
      </c>
      <c r="B129" s="274" t="str">
        <f>Exigences!D138</f>
        <v>Quel retour est fait au client ?</v>
      </c>
      <c r="C129" s="1" t="str">
        <f>Exigences!V138</f>
        <v>Oui</v>
      </c>
      <c r="D129" s="639"/>
      <c r="E129" s="232"/>
    </row>
    <row r="130" spans="1:5" x14ac:dyDescent="0.25">
      <c r="A130" s="226">
        <f>Exigences!C139</f>
        <v>100</v>
      </c>
      <c r="B130" s="274" t="str">
        <f>Exigences!D139</f>
        <v xml:space="preserve">Comment sont-elles capitalisées ? </v>
      </c>
      <c r="C130" s="1" t="str">
        <f>Exigences!V139</f>
        <v>Oui</v>
      </c>
      <c r="D130" s="639"/>
      <c r="E130" s="232"/>
    </row>
    <row r="131" spans="1:5" x14ac:dyDescent="0.25">
      <c r="A131" s="226">
        <f>Exigences!C140</f>
        <v>101</v>
      </c>
      <c r="B131" s="274" t="str">
        <f>Exigences!D140</f>
        <v xml:space="preserve">Comment maîtrisez-vous les pièces contrefaites ? </v>
      </c>
      <c r="C131" s="1" t="str">
        <f>Exigences!V140</f>
        <v>Oui</v>
      </c>
      <c r="D131" s="640"/>
      <c r="E131" s="232"/>
    </row>
    <row r="132" spans="1:5" x14ac:dyDescent="0.25">
      <c r="A132" s="223">
        <f>Exigences!C141</f>
        <v>9</v>
      </c>
      <c r="B132" s="230" t="str">
        <f>Exigences!D141</f>
        <v>Évaluation des performances</v>
      </c>
      <c r="C132" s="653" t="s">
        <v>100</v>
      </c>
      <c r="D132" s="765"/>
      <c r="E132" s="196" t="s">
        <v>296</v>
      </c>
    </row>
    <row r="133" spans="1:5" ht="18" x14ac:dyDescent="0.25">
      <c r="A133" s="224" t="str">
        <f>Exigences!C142</f>
        <v>9.1</v>
      </c>
      <c r="B133" s="231" t="str">
        <f>Exigences!D142</f>
        <v>Surveillance, mesure, analyse et évaluation</v>
      </c>
      <c r="C133" s="172" t="str">
        <f>Exigences!V142</f>
        <v>La preuve doit être documentée ?</v>
      </c>
      <c r="D133" s="172" t="s">
        <v>188</v>
      </c>
      <c r="E133" s="195" t="s">
        <v>296</v>
      </c>
    </row>
    <row r="134" spans="1:5" ht="153" x14ac:dyDescent="0.25">
      <c r="A134" s="226">
        <f>Exigences!C143</f>
        <v>102</v>
      </c>
      <c r="B134" s="274" t="str">
        <f>Exigences!D143</f>
        <v>Quels sont vos indicateurs ? Avez-vous un tableau de bord ?</v>
      </c>
      <c r="C134" s="1" t="str">
        <f>Exigences!V143</f>
        <v>Oui</v>
      </c>
      <c r="D134" s="638" t="s">
        <v>384</v>
      </c>
      <c r="E134" s="252" t="s">
        <v>512</v>
      </c>
    </row>
    <row r="135" spans="1:5" ht="18" customHeight="1" x14ac:dyDescent="0.25">
      <c r="A135" s="226">
        <f>Exigences!C144</f>
        <v>103</v>
      </c>
      <c r="B135" s="274" t="str">
        <f>Exigences!D144</f>
        <v>Zoom KPI satisfaction : Comment mesurez-vous la satisfaction de vos clients (yc internes) ?</v>
      </c>
      <c r="C135" s="1" t="str">
        <f>Exigences!V144</f>
        <v>Oui</v>
      </c>
      <c r="D135" s="649"/>
      <c r="E135" s="252" t="s">
        <v>512</v>
      </c>
    </row>
    <row r="136" spans="1:5" ht="171" x14ac:dyDescent="0.25">
      <c r="A136" s="226">
        <f>Exigences!C145</f>
        <v>104</v>
      </c>
      <c r="B136" s="274" t="str">
        <f>Exigences!D145</f>
        <v>Zoom KPI satisfaction : Avez-vous inclus, dans l'évaluation de la satisfaction du client, la performance de ponctualité des livraisons ?</v>
      </c>
      <c r="C136" s="1" t="str">
        <f>Exigences!V145</f>
        <v>Oui</v>
      </c>
      <c r="D136" s="408" t="s">
        <v>513</v>
      </c>
      <c r="E136" s="252" t="s">
        <v>514</v>
      </c>
    </row>
    <row r="137" spans="1:5" ht="31.5" customHeight="1" x14ac:dyDescent="0.25">
      <c r="A137" s="226">
        <f>Exigences!C146</f>
        <v>105</v>
      </c>
      <c r="B137" s="382" t="str">
        <f>Exigences!D146</f>
        <v>Zoom KPI prestataires externes : Avez-vous inclus, la performance de vos prestataires externes?</v>
      </c>
      <c r="C137" s="1" t="str">
        <f>Exigences!V146</f>
        <v>Oui</v>
      </c>
      <c r="D137" s="377" t="s">
        <v>387</v>
      </c>
      <c r="E137" s="252" t="s">
        <v>512</v>
      </c>
    </row>
    <row r="138" spans="1:5" ht="46.5" customHeight="1" x14ac:dyDescent="0.25">
      <c r="A138" s="226">
        <f>Exigences!C147</f>
        <v>106</v>
      </c>
      <c r="B138" s="274" t="str">
        <f>Exigences!D147</f>
        <v>Comment suivez-vous vos résultats ? A quelle fréquence ? Par qui ?</v>
      </c>
      <c r="C138" s="1" t="str">
        <f>Exigences!V147</f>
        <v>Oui</v>
      </c>
      <c r="D138" s="638" t="s">
        <v>388</v>
      </c>
      <c r="E138" s="252" t="s">
        <v>512</v>
      </c>
    </row>
    <row r="139" spans="1:5" ht="41.25" customHeight="1" x14ac:dyDescent="0.25">
      <c r="A139" s="226">
        <f>Exigences!C148</f>
        <v>107</v>
      </c>
      <c r="B139" s="274" t="str">
        <f>Exigences!D148</f>
        <v xml:space="preserve">Quels sont les résultats actuels ? Que faites-vous en cas d'écart ?
Questions plus fermées : Mettez-vous en place des actions lorsque vous constatez des dérives dans vos résultats ? Analysez-vous vos données de manière annuelle ou lors de vos revues de processus ? Quelles sont les actions de l'année ? </v>
      </c>
      <c r="C139" s="1" t="str">
        <f>Exigences!V148</f>
        <v>Oui</v>
      </c>
      <c r="D139" s="649"/>
      <c r="E139" s="252" t="s">
        <v>512</v>
      </c>
    </row>
    <row r="140" spans="1:5" ht="18" x14ac:dyDescent="0.25">
      <c r="A140" s="224" t="str">
        <f>Exigences!C149</f>
        <v>9.2</v>
      </c>
      <c r="B140" s="231" t="str">
        <f>Exigences!D149</f>
        <v>Audit interne</v>
      </c>
      <c r="C140" s="172" t="str">
        <f>Exigences!V149</f>
        <v>La preuve doit être documentée ?</v>
      </c>
      <c r="D140" s="172" t="s">
        <v>188</v>
      </c>
      <c r="E140" s="195" t="s">
        <v>296</v>
      </c>
    </row>
    <row r="141" spans="1:5" ht="162" x14ac:dyDescent="0.25">
      <c r="A141" s="226">
        <f>Exigences!C150</f>
        <v>108</v>
      </c>
      <c r="B141" s="274" t="str">
        <f>Exigences!D150</f>
        <v>Comment planifiez-vous les audits internes ?
Question plus fermée :Comment choisissez-vous les processus et les acteurs à auditer ?</v>
      </c>
      <c r="C141" s="1" t="str">
        <f>Exigences!V150</f>
        <v>Oui</v>
      </c>
      <c r="D141" s="638" t="s">
        <v>389</v>
      </c>
      <c r="E141" s="252" t="s">
        <v>489</v>
      </c>
    </row>
    <row r="142" spans="1:5" ht="24.75" customHeight="1" x14ac:dyDescent="0.25">
      <c r="A142" s="226">
        <f>Exigences!C151</f>
        <v>109</v>
      </c>
      <c r="B142" s="274" t="str">
        <f>Exigences!D151</f>
        <v xml:space="preserve">Comment traitez-vous les résultats des audits ? </v>
      </c>
      <c r="C142" s="1" t="str">
        <f>Exigences!V151</f>
        <v>Oui</v>
      </c>
      <c r="D142" s="639"/>
      <c r="E142" s="252" t="s">
        <v>489</v>
      </c>
    </row>
    <row r="143" spans="1:5" ht="20.25" customHeight="1" x14ac:dyDescent="0.25">
      <c r="A143" s="226">
        <f>Exigences!C152</f>
        <v>110</v>
      </c>
      <c r="B143" s="274" t="str">
        <f>Exigences!D152</f>
        <v>Comment est défini votre collège d'auditeurs internes ?</v>
      </c>
      <c r="C143" s="1" t="str">
        <f>Exigences!V152</f>
        <v>Oui</v>
      </c>
      <c r="D143" s="649"/>
      <c r="E143" s="252" t="s">
        <v>489</v>
      </c>
    </row>
    <row r="144" spans="1:5" ht="18" x14ac:dyDescent="0.25">
      <c r="A144" s="224" t="str">
        <f>Exigences!C153</f>
        <v>9.3</v>
      </c>
      <c r="B144" s="231" t="str">
        <f>Exigences!D153</f>
        <v>Revue de direction</v>
      </c>
      <c r="C144" s="172" t="str">
        <f>Exigences!V153</f>
        <v>La preuve doit être documentée ?</v>
      </c>
      <c r="D144" s="172" t="s">
        <v>188</v>
      </c>
      <c r="E144" s="195" t="s">
        <v>296</v>
      </c>
    </row>
    <row r="145" spans="1:5" ht="28.5" customHeight="1" x14ac:dyDescent="0.25">
      <c r="A145" s="226">
        <f>Exigences!C154</f>
        <v>111</v>
      </c>
      <c r="B145" s="274" t="str">
        <f>Exigences!D154</f>
        <v xml:space="preserve">Comment réalisez-vous votre bilan annuel ? Comment les données sont-elles analysées ?
Question plus fermée :  Faites-vous une revue de direction  ou un bilan annuel? Quelles sont les éléments danalysés? 
</v>
      </c>
      <c r="C145" s="1" t="str">
        <f>Exigences!V154</f>
        <v>Oui</v>
      </c>
      <c r="D145" s="419" t="s">
        <v>391</v>
      </c>
      <c r="E145" s="252" t="s">
        <v>426</v>
      </c>
    </row>
    <row r="146" spans="1:5" ht="189" x14ac:dyDescent="0.25">
      <c r="A146" s="226">
        <f>Exigences!C155</f>
        <v>112</v>
      </c>
      <c r="B146" s="274" t="str">
        <f>Exigences!D155</f>
        <v>Quel est le plan d'actions issu de la revue de direction ? Comment est-il validé ?</v>
      </c>
      <c r="C146" s="1" t="str">
        <f>Exigences!V155</f>
        <v>Oui</v>
      </c>
      <c r="D146" s="420"/>
      <c r="E146" s="232" t="s">
        <v>490</v>
      </c>
    </row>
    <row r="147" spans="1:5" x14ac:dyDescent="0.25">
      <c r="A147" s="223">
        <f>Exigences!C156</f>
        <v>10</v>
      </c>
      <c r="B147" s="230" t="str">
        <f>Exigences!D156</f>
        <v>Amélioration</v>
      </c>
      <c r="C147" s="653" t="str">
        <f>Exigences!V156</f>
        <v>Liste des Preuves</v>
      </c>
      <c r="D147" s="765"/>
      <c r="E147" s="196" t="s">
        <v>296</v>
      </c>
    </row>
    <row r="148" spans="1:5" ht="18" x14ac:dyDescent="0.25">
      <c r="A148" s="224" t="str">
        <f>Exigences!C157</f>
        <v>10.1</v>
      </c>
      <c r="B148" s="231" t="str">
        <f>Exigences!D157</f>
        <v>Généralités</v>
      </c>
      <c r="C148" s="172" t="str">
        <f>Exigences!V157</f>
        <v>La preuve doit être documentée ?</v>
      </c>
      <c r="D148" s="172" t="s">
        <v>188</v>
      </c>
      <c r="E148" s="195" t="s">
        <v>296</v>
      </c>
    </row>
    <row r="149" spans="1:5" ht="81" x14ac:dyDescent="0.25">
      <c r="A149" s="226">
        <f>Exigences!C158</f>
        <v>113</v>
      </c>
      <c r="B149" s="274" t="str">
        <f>Exigences!D158</f>
        <v>Comment remontez-vous une amélioration ? 
Avez-vous mis en place des actions permettant l'amélioration de votre poste ou de l'entreprise ?</v>
      </c>
      <c r="C149" s="1" t="str">
        <f>Exigences!V158</f>
        <v>Non</v>
      </c>
      <c r="D149" s="252" t="s">
        <v>392</v>
      </c>
      <c r="E149" s="252" t="s">
        <v>491</v>
      </c>
    </row>
    <row r="150" spans="1:5" ht="18" x14ac:dyDescent="0.25">
      <c r="A150" s="224" t="str">
        <f>Exigences!C159</f>
        <v>10.2</v>
      </c>
      <c r="B150" s="231" t="str">
        <f>Exigences!D159</f>
        <v>Non-conformité et action corrective</v>
      </c>
      <c r="C150" s="172" t="str">
        <f>Exigences!V159</f>
        <v>La preuve doit être documentée ?</v>
      </c>
      <c r="D150" s="172" t="s">
        <v>188</v>
      </c>
      <c r="E150" s="253" t="s">
        <v>296</v>
      </c>
    </row>
    <row r="151" spans="1:5" ht="153" x14ac:dyDescent="0.25">
      <c r="A151" s="226">
        <f>Exigences!C160</f>
        <v>114</v>
      </c>
      <c r="B151" s="274" t="str">
        <f>Exigences!D160</f>
        <v>Comment gérez-vous les non-conformité?
Quelles sont les actions mises en œuvre en cas de NC?</v>
      </c>
      <c r="C151" s="1" t="str">
        <f>Exigences!V160</f>
        <v>Oui</v>
      </c>
      <c r="D151" s="638" t="s">
        <v>394</v>
      </c>
      <c r="E151" s="252" t="s">
        <v>492</v>
      </c>
    </row>
    <row r="152" spans="1:5" ht="15" customHeight="1" x14ac:dyDescent="0.25">
      <c r="A152" s="226">
        <f>Exigences!C161</f>
        <v>115</v>
      </c>
      <c r="B152" s="274" t="str">
        <f>Exigences!D161</f>
        <v>Comment clôture-t-on les actions ?</v>
      </c>
      <c r="C152" s="1" t="str">
        <f>Exigences!V161</f>
        <v>Oui</v>
      </c>
      <c r="D152" s="639"/>
      <c r="E152" s="252" t="s">
        <v>492</v>
      </c>
    </row>
    <row r="153" spans="1:5" ht="18" x14ac:dyDescent="0.25">
      <c r="A153" s="224" t="str">
        <f>Exigences!C162</f>
        <v>10.3</v>
      </c>
      <c r="B153" s="231" t="str">
        <f>Exigences!D162</f>
        <v>Amélioration continue</v>
      </c>
      <c r="C153" s="172" t="str">
        <f>Exigences!V162</f>
        <v>La preuve doit être documentée ?</v>
      </c>
      <c r="D153" s="172" t="s">
        <v>188</v>
      </c>
      <c r="E153" s="195" t="s">
        <v>296</v>
      </c>
    </row>
    <row r="154" spans="1:5" ht="90" x14ac:dyDescent="0.25">
      <c r="A154" s="226">
        <f>Exigences!C163</f>
        <v>116</v>
      </c>
      <c r="B154" s="274" t="str">
        <f>Exigences!D163</f>
        <v>Comment gérez-vous l'amélioration continue ?
Question plus fermée : Comment prenez-vous en compte les données de sortie de la revue de direction ?</v>
      </c>
      <c r="C154" s="1" t="str">
        <f>Exigences!V163</f>
        <v>Non</v>
      </c>
      <c r="D154" s="423" t="s">
        <v>393</v>
      </c>
      <c r="E154" s="252" t="s">
        <v>493</v>
      </c>
    </row>
  </sheetData>
  <autoFilter ref="C1:E154">
    <filterColumn colId="0" showButton="0"/>
  </autoFilter>
  <mergeCells count="38">
    <mergeCell ref="C147:D147"/>
    <mergeCell ref="D151:D152"/>
    <mergeCell ref="D41:D42"/>
    <mergeCell ref="D44:D46"/>
    <mergeCell ref="D49:D50"/>
    <mergeCell ref="D57:D58"/>
    <mergeCell ref="D69:D70"/>
    <mergeCell ref="D134:D135"/>
    <mergeCell ref="D138:D139"/>
    <mergeCell ref="D141:D143"/>
    <mergeCell ref="D60:D61"/>
    <mergeCell ref="D114:D115"/>
    <mergeCell ref="D116:D117"/>
    <mergeCell ref="D121:D122"/>
    <mergeCell ref="D125:D126"/>
    <mergeCell ref="D128:D131"/>
    <mergeCell ref="C132:D132"/>
    <mergeCell ref="C77:D77"/>
    <mergeCell ref="C38:D38"/>
    <mergeCell ref="C51:D51"/>
    <mergeCell ref="D63:D64"/>
    <mergeCell ref="D73:D74"/>
    <mergeCell ref="D89:D90"/>
    <mergeCell ref="D93:D94"/>
    <mergeCell ref="D103:D108"/>
    <mergeCell ref="D109:D110"/>
    <mergeCell ref="D111:D112"/>
    <mergeCell ref="D21:D25"/>
    <mergeCell ref="D34:D36"/>
    <mergeCell ref="C19:D19"/>
    <mergeCell ref="C1:D1"/>
    <mergeCell ref="C2:D2"/>
    <mergeCell ref="D11:D12"/>
    <mergeCell ref="D4:D5"/>
    <mergeCell ref="D7:D9"/>
    <mergeCell ref="D14:D15"/>
    <mergeCell ref="D16:D17"/>
    <mergeCell ref="D29:D32"/>
  </mergeCells>
  <pageMargins left="0.7" right="0.7" top="0.75" bottom="0.75" header="0.3" footer="0.3"/>
  <pageSetup paperSize="9"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9"/>
  <sheetViews>
    <sheetView zoomScaleNormal="100" workbookViewId="0">
      <pane ySplit="1" topLeftCell="A2" activePane="bottomLeft" state="frozen"/>
      <selection pane="bottomLeft" activeCell="I3" sqref="I3"/>
    </sheetView>
  </sheetViews>
  <sheetFormatPr baseColWidth="10" defaultRowHeight="15" x14ac:dyDescent="0.25"/>
  <cols>
    <col min="2" max="2" width="52" customWidth="1"/>
    <col min="3" max="3" width="29.42578125" customWidth="1"/>
    <col min="4" max="5" width="28.7109375" customWidth="1"/>
    <col min="6" max="6" width="28.7109375" style="428" customWidth="1"/>
    <col min="7" max="7" width="28.7109375" style="418" customWidth="1"/>
    <col min="8" max="8" width="21.42578125" style="437" customWidth="1"/>
    <col min="9" max="9" width="17.42578125" style="418" customWidth="1"/>
  </cols>
  <sheetData>
    <row r="1" spans="1:9" x14ac:dyDescent="0.25">
      <c r="A1" s="414" t="s">
        <v>613</v>
      </c>
      <c r="B1" s="414" t="s">
        <v>524</v>
      </c>
      <c r="C1" s="414" t="s">
        <v>523</v>
      </c>
      <c r="D1" s="414" t="s">
        <v>525</v>
      </c>
      <c r="E1" s="414" t="s">
        <v>604</v>
      </c>
      <c r="F1" s="426" t="s">
        <v>280</v>
      </c>
      <c r="G1" s="429" t="s">
        <v>605</v>
      </c>
      <c r="H1" s="435" t="s">
        <v>526</v>
      </c>
      <c r="I1" s="417" t="s">
        <v>527</v>
      </c>
    </row>
    <row r="2" spans="1:9" x14ac:dyDescent="0.25">
      <c r="A2">
        <v>1</v>
      </c>
      <c r="B2" s="232" t="str">
        <f>Exigences!AA13</f>
        <v>Pas de plan d'actions à suggérer!</v>
      </c>
      <c r="C2" s="274" t="s">
        <v>606</v>
      </c>
      <c r="D2" s="232">
        <f>Exigences!AD13</f>
        <v>0</v>
      </c>
      <c r="E2" s="427">
        <v>43282</v>
      </c>
      <c r="F2" s="434">
        <f>Exigences!AE13</f>
        <v>0</v>
      </c>
      <c r="G2" s="274">
        <f t="shared" ref="G2:G33" si="0">NETWORKDAYS(E2,F2)</f>
        <v>-30915</v>
      </c>
      <c r="H2" s="436">
        <f>Exigences!AF13</f>
        <v>0</v>
      </c>
      <c r="I2" s="232">
        <f>Exigences!AG13</f>
        <v>0</v>
      </c>
    </row>
    <row r="3" spans="1:9" x14ac:dyDescent="0.25">
      <c r="A3">
        <f>1+A2</f>
        <v>2</v>
      </c>
      <c r="B3" s="232" t="str">
        <f>Exigences!AA14</f>
        <v>Pas de plan d'actions à suggérer!</v>
      </c>
      <c r="C3" s="274" t="s">
        <v>606</v>
      </c>
      <c r="D3" s="232">
        <f>Exigences!AD14</f>
        <v>0</v>
      </c>
      <c r="E3" s="427">
        <v>43256</v>
      </c>
      <c r="F3" s="434">
        <f>Exigences!AE14</f>
        <v>0</v>
      </c>
      <c r="G3" s="274">
        <f t="shared" si="0"/>
        <v>-30897</v>
      </c>
      <c r="H3" s="436">
        <f>Exigences!AF14</f>
        <v>0</v>
      </c>
      <c r="I3" s="232">
        <f>Exigences!AG14</f>
        <v>0</v>
      </c>
    </row>
    <row r="4" spans="1:9" x14ac:dyDescent="0.25">
      <c r="A4">
        <f t="shared" ref="A4:A67" si="1">1+A3</f>
        <v>3</v>
      </c>
      <c r="B4" s="232" t="str">
        <f>Exigences!AA16</f>
        <v>Pas de plan d'actions à suggérer!</v>
      </c>
      <c r="C4" s="274" t="s">
        <v>606</v>
      </c>
      <c r="D4" s="232">
        <f>Exigences!AD16</f>
        <v>0</v>
      </c>
      <c r="E4" s="274"/>
      <c r="F4" s="434">
        <f>Exigences!AE16</f>
        <v>0</v>
      </c>
      <c r="G4" s="274">
        <f t="shared" si="0"/>
        <v>0</v>
      </c>
      <c r="H4" s="436">
        <f>Exigences!AF16</f>
        <v>0</v>
      </c>
      <c r="I4" s="232">
        <f>Exigences!AG16</f>
        <v>0</v>
      </c>
    </row>
    <row r="5" spans="1:9" x14ac:dyDescent="0.25">
      <c r="A5">
        <f t="shared" si="1"/>
        <v>4</v>
      </c>
      <c r="B5" s="232" t="str">
        <f>Exigences!AA17</f>
        <v>Pas de plan d'actions à suggérer!</v>
      </c>
      <c r="C5" s="274" t="s">
        <v>606</v>
      </c>
      <c r="D5" s="232">
        <f>Exigences!AD17</f>
        <v>0</v>
      </c>
      <c r="E5" s="427">
        <v>43256</v>
      </c>
      <c r="F5" s="434">
        <f>Exigences!AE17</f>
        <v>0</v>
      </c>
      <c r="G5" s="274">
        <f t="shared" si="0"/>
        <v>-30897</v>
      </c>
      <c r="H5" s="436">
        <f>Exigences!AF17</f>
        <v>0</v>
      </c>
      <c r="I5" s="232">
        <f>Exigences!AG17</f>
        <v>0</v>
      </c>
    </row>
    <row r="6" spans="1:9" x14ac:dyDescent="0.25">
      <c r="A6">
        <f t="shared" si="1"/>
        <v>5</v>
      </c>
      <c r="B6" s="232" t="str">
        <f>Exigences!AA18</f>
        <v>Pas de plan d'actions à suggérer!</v>
      </c>
      <c r="C6" s="274" t="s">
        <v>606</v>
      </c>
      <c r="D6" s="232">
        <f>Exigences!AD18</f>
        <v>0</v>
      </c>
      <c r="E6" s="274"/>
      <c r="F6" s="434">
        <f>Exigences!AE18</f>
        <v>0</v>
      </c>
      <c r="G6" s="274">
        <f t="shared" si="0"/>
        <v>0</v>
      </c>
      <c r="H6" s="436">
        <f>Exigences!AF18</f>
        <v>0</v>
      </c>
      <c r="I6" s="232">
        <f>Exigences!AG18</f>
        <v>0</v>
      </c>
    </row>
    <row r="7" spans="1:9" x14ac:dyDescent="0.25">
      <c r="A7">
        <f t="shared" si="1"/>
        <v>6</v>
      </c>
      <c r="B7" s="232" t="str">
        <f>Exigences!AA20</f>
        <v>Pas de plan d'actions à suggérer!</v>
      </c>
      <c r="C7" s="274" t="s">
        <v>606</v>
      </c>
      <c r="D7" s="232">
        <f>Exigences!AD20</f>
        <v>0</v>
      </c>
      <c r="E7" s="427">
        <v>43101</v>
      </c>
      <c r="F7" s="434">
        <f>Exigences!AE20</f>
        <v>0</v>
      </c>
      <c r="G7" s="274">
        <f t="shared" si="0"/>
        <v>-30786</v>
      </c>
      <c r="H7" s="436">
        <f>Exigences!AF20</f>
        <v>0</v>
      </c>
      <c r="I7" s="232">
        <f>Exigences!AG20</f>
        <v>0</v>
      </c>
    </row>
    <row r="8" spans="1:9" x14ac:dyDescent="0.25">
      <c r="A8">
        <f t="shared" si="1"/>
        <v>7</v>
      </c>
      <c r="B8" s="232" t="str">
        <f>Exigences!AA21</f>
        <v>Pas de plan d'actions à suggérer!</v>
      </c>
      <c r="C8" s="274" t="s">
        <v>606</v>
      </c>
      <c r="D8" s="232">
        <f>Exigences!AD21</f>
        <v>0</v>
      </c>
      <c r="E8" s="274"/>
      <c r="F8" s="434">
        <f>Exigences!AE21</f>
        <v>0</v>
      </c>
      <c r="G8" s="274">
        <f t="shared" si="0"/>
        <v>0</v>
      </c>
      <c r="H8" s="436">
        <f>Exigences!AF21</f>
        <v>0</v>
      </c>
      <c r="I8" s="232">
        <f>Exigences!AG21</f>
        <v>0</v>
      </c>
    </row>
    <row r="9" spans="1:9" x14ac:dyDescent="0.25">
      <c r="A9">
        <f t="shared" si="1"/>
        <v>8</v>
      </c>
      <c r="B9" s="232" t="str">
        <f>Exigences!AA23</f>
        <v>Pas de plan d'actions à suggérer!</v>
      </c>
      <c r="C9" s="274" t="s">
        <v>606</v>
      </c>
      <c r="D9" s="232">
        <f>Exigences!AD23</f>
        <v>0</v>
      </c>
      <c r="E9" s="274"/>
      <c r="F9" s="434">
        <f>Exigences!AE23</f>
        <v>0</v>
      </c>
      <c r="G9" s="274">
        <f t="shared" si="0"/>
        <v>0</v>
      </c>
      <c r="H9" s="436">
        <f>Exigences!AF23</f>
        <v>0</v>
      </c>
      <c r="I9" s="232">
        <f>Exigences!AG23</f>
        <v>0</v>
      </c>
    </row>
    <row r="10" spans="1:9" x14ac:dyDescent="0.25">
      <c r="A10">
        <f t="shared" si="1"/>
        <v>9</v>
      </c>
      <c r="B10" s="232" t="str">
        <f>Exigences!AA24</f>
        <v>Pas de plan d'actions à suggérer!</v>
      </c>
      <c r="C10" s="274" t="s">
        <v>606</v>
      </c>
      <c r="D10" s="232">
        <f>Exigences!AD24</f>
        <v>0</v>
      </c>
      <c r="E10" s="427">
        <v>43101</v>
      </c>
      <c r="F10" s="434">
        <f>Exigences!AE24</f>
        <v>0</v>
      </c>
      <c r="G10" s="274">
        <f t="shared" si="0"/>
        <v>-30786</v>
      </c>
      <c r="H10" s="436">
        <f>Exigences!AF24</f>
        <v>0</v>
      </c>
      <c r="I10" s="232">
        <f>Exigences!AG24</f>
        <v>0</v>
      </c>
    </row>
    <row r="11" spans="1:9" x14ac:dyDescent="0.25">
      <c r="A11">
        <f t="shared" si="1"/>
        <v>10</v>
      </c>
      <c r="B11" s="232" t="str">
        <f>Exigences!AA25</f>
        <v>Pas de plan d'actions à suggérer!</v>
      </c>
      <c r="C11" s="274" t="s">
        <v>606</v>
      </c>
      <c r="D11" s="232">
        <f>Exigences!AD25</f>
        <v>0</v>
      </c>
      <c r="E11" s="274"/>
      <c r="F11" s="434">
        <f>Exigences!AE25</f>
        <v>0</v>
      </c>
      <c r="G11" s="274">
        <f t="shared" si="0"/>
        <v>0</v>
      </c>
      <c r="H11" s="436">
        <f>Exigences!AF25</f>
        <v>0</v>
      </c>
      <c r="I11" s="232">
        <f>Exigences!AG25</f>
        <v>0</v>
      </c>
    </row>
    <row r="12" spans="1:9" x14ac:dyDescent="0.25">
      <c r="A12">
        <f t="shared" si="1"/>
        <v>11</v>
      </c>
      <c r="B12" s="232" t="str">
        <f>Exigences!AA26</f>
        <v>Pas de plan d'actions à suggérer!</v>
      </c>
      <c r="C12" s="274" t="s">
        <v>606</v>
      </c>
      <c r="D12" s="232">
        <f>Exigences!AD26</f>
        <v>0</v>
      </c>
      <c r="E12" s="274"/>
      <c r="F12" s="434">
        <f>Exigences!AE26</f>
        <v>0</v>
      </c>
      <c r="G12" s="274">
        <f t="shared" si="0"/>
        <v>0</v>
      </c>
      <c r="H12" s="436">
        <f>Exigences!AF26</f>
        <v>0</v>
      </c>
      <c r="I12" s="232">
        <f>Exigences!AG26</f>
        <v>0</v>
      </c>
    </row>
    <row r="13" spans="1:9" x14ac:dyDescent="0.25">
      <c r="A13">
        <f t="shared" si="1"/>
        <v>12</v>
      </c>
      <c r="B13" s="232" t="str">
        <f>Exigences!AA27</f>
        <v>Pas de plan d'actions à suggérer!</v>
      </c>
      <c r="C13" s="274" t="s">
        <v>606</v>
      </c>
      <c r="D13" s="232">
        <f>Exigences!AD27</f>
        <v>0</v>
      </c>
      <c r="E13" s="274"/>
      <c r="F13" s="434">
        <f>Exigences!AE27</f>
        <v>0</v>
      </c>
      <c r="G13" s="274">
        <f t="shared" si="0"/>
        <v>0</v>
      </c>
      <c r="H13" s="436">
        <f>Exigences!AF27</f>
        <v>0</v>
      </c>
      <c r="I13" s="232">
        <f>Exigences!AG27</f>
        <v>0</v>
      </c>
    </row>
    <row r="14" spans="1:9" x14ac:dyDescent="0.25">
      <c r="A14">
        <f t="shared" si="1"/>
        <v>13</v>
      </c>
      <c r="B14" s="232" t="str">
        <f>Exigences!AA30</f>
        <v>Pas de plan d'actions à suggérer!</v>
      </c>
      <c r="C14" s="274" t="s">
        <v>607</v>
      </c>
      <c r="D14" s="232">
        <f>Exigences!AD30</f>
        <v>0</v>
      </c>
      <c r="E14" s="427">
        <v>43101</v>
      </c>
      <c r="F14" s="434">
        <f>Exigences!AE30</f>
        <v>0</v>
      </c>
      <c r="G14" s="274">
        <f t="shared" si="0"/>
        <v>-30786</v>
      </c>
      <c r="H14" s="436">
        <f>Exigences!AF30</f>
        <v>0</v>
      </c>
      <c r="I14" s="232">
        <f>Exigences!AG30</f>
        <v>0</v>
      </c>
    </row>
    <row r="15" spans="1:9" x14ac:dyDescent="0.25">
      <c r="A15">
        <f t="shared" si="1"/>
        <v>14</v>
      </c>
      <c r="B15" s="232" t="str">
        <f>Exigences!AA31</f>
        <v>Pas de plan d'actions à suggérer!</v>
      </c>
      <c r="C15" s="274" t="s">
        <v>607</v>
      </c>
      <c r="D15" s="232">
        <f>Exigences!AD31</f>
        <v>0</v>
      </c>
      <c r="E15" s="274"/>
      <c r="F15" s="434">
        <f>Exigences!AE31</f>
        <v>0</v>
      </c>
      <c r="G15" s="274">
        <f t="shared" si="0"/>
        <v>0</v>
      </c>
      <c r="H15" s="436">
        <f>Exigences!AF31</f>
        <v>0</v>
      </c>
      <c r="I15" s="232">
        <f>Exigences!AG31</f>
        <v>0</v>
      </c>
    </row>
    <row r="16" spans="1:9" x14ac:dyDescent="0.25">
      <c r="A16">
        <f t="shared" si="1"/>
        <v>15</v>
      </c>
      <c r="B16" s="232" t="str">
        <f>Exigences!AA32</f>
        <v>Pas de plan d'actions à suggérer!</v>
      </c>
      <c r="C16" s="274" t="s">
        <v>607</v>
      </c>
      <c r="D16" s="232">
        <f>Exigences!AD32</f>
        <v>0</v>
      </c>
      <c r="E16" s="274"/>
      <c r="F16" s="434">
        <f>Exigences!AE32</f>
        <v>0</v>
      </c>
      <c r="G16" s="274">
        <f t="shared" si="0"/>
        <v>0</v>
      </c>
      <c r="H16" s="436">
        <f>Exigences!AF32</f>
        <v>0</v>
      </c>
      <c r="I16" s="232">
        <f>Exigences!AG32</f>
        <v>0</v>
      </c>
    </row>
    <row r="17" spans="1:9" x14ac:dyDescent="0.25">
      <c r="A17">
        <f t="shared" si="1"/>
        <v>16</v>
      </c>
      <c r="B17" s="232" t="str">
        <f>Exigences!AA33</f>
        <v>Pas de plan d'actions à suggérer!</v>
      </c>
      <c r="C17" s="274" t="s">
        <v>607</v>
      </c>
      <c r="D17" s="232">
        <f>Exigences!AD33</f>
        <v>0</v>
      </c>
      <c r="E17" s="274"/>
      <c r="F17" s="434">
        <f>Exigences!AE33</f>
        <v>0</v>
      </c>
      <c r="G17" s="274">
        <f t="shared" si="0"/>
        <v>0</v>
      </c>
      <c r="H17" s="436">
        <f>Exigences!AF33</f>
        <v>0</v>
      </c>
      <c r="I17" s="232">
        <f>Exigences!AG33</f>
        <v>0</v>
      </c>
    </row>
    <row r="18" spans="1:9" x14ac:dyDescent="0.25">
      <c r="A18">
        <f t="shared" si="1"/>
        <v>17</v>
      </c>
      <c r="B18" s="232" t="str">
        <f>Exigences!AA34</f>
        <v>Pas de plan d'actions à suggérer!</v>
      </c>
      <c r="C18" s="274" t="s">
        <v>607</v>
      </c>
      <c r="D18" s="232">
        <f>Exigences!AD34</f>
        <v>0</v>
      </c>
      <c r="E18" s="274"/>
      <c r="F18" s="434">
        <f>Exigences!AE34</f>
        <v>0</v>
      </c>
      <c r="G18" s="274">
        <f t="shared" si="0"/>
        <v>0</v>
      </c>
      <c r="H18" s="436">
        <f>Exigences!AF34</f>
        <v>0</v>
      </c>
      <c r="I18" s="232">
        <f>Exigences!AG34</f>
        <v>0</v>
      </c>
    </row>
    <row r="19" spans="1:9" x14ac:dyDescent="0.25">
      <c r="A19">
        <f t="shared" si="1"/>
        <v>18</v>
      </c>
      <c r="B19" s="232" t="str">
        <f>Exigences!AA35</f>
        <v>Pas de plan d'actions à suggérer!</v>
      </c>
      <c r="C19" s="274" t="s">
        <v>607</v>
      </c>
      <c r="D19" s="232">
        <f>Exigences!AD35</f>
        <v>0</v>
      </c>
      <c r="E19" s="274"/>
      <c r="F19" s="434">
        <f>Exigences!AE35</f>
        <v>0</v>
      </c>
      <c r="G19" s="274">
        <f t="shared" si="0"/>
        <v>0</v>
      </c>
      <c r="H19" s="436">
        <f>Exigences!AF35</f>
        <v>0</v>
      </c>
      <c r="I19" s="232">
        <f>Exigences!AG35</f>
        <v>0</v>
      </c>
    </row>
    <row r="20" spans="1:9" x14ac:dyDescent="0.25">
      <c r="A20">
        <f t="shared" si="1"/>
        <v>19</v>
      </c>
      <c r="B20" s="232" t="str">
        <f>Exigences!AA36</f>
        <v>Pas de plan d'actions à suggérer!</v>
      </c>
      <c r="C20" s="274" t="s">
        <v>607</v>
      </c>
      <c r="D20" s="232">
        <f>Exigences!AD36</f>
        <v>0</v>
      </c>
      <c r="E20" s="274"/>
      <c r="F20" s="434">
        <f>Exigences!AE36</f>
        <v>0</v>
      </c>
      <c r="G20" s="274">
        <f t="shared" si="0"/>
        <v>0</v>
      </c>
      <c r="H20" s="436">
        <f>Exigences!AF36</f>
        <v>0</v>
      </c>
      <c r="I20" s="232">
        <f>Exigences!AG36</f>
        <v>0</v>
      </c>
    </row>
    <row r="21" spans="1:9" x14ac:dyDescent="0.25">
      <c r="A21">
        <f t="shared" si="1"/>
        <v>20</v>
      </c>
      <c r="B21" s="232" t="str">
        <f>Exigences!AA38</f>
        <v>Pas de plan d'actions à suggérer!</v>
      </c>
      <c r="C21" s="274" t="s">
        <v>607</v>
      </c>
      <c r="D21" s="232">
        <f>Exigences!AD38</f>
        <v>0</v>
      </c>
      <c r="E21" s="274"/>
      <c r="F21" s="434">
        <f>Exigences!AE38</f>
        <v>0</v>
      </c>
      <c r="G21" s="274">
        <f t="shared" si="0"/>
        <v>0</v>
      </c>
      <c r="H21" s="436">
        <f>Exigences!AF38</f>
        <v>0</v>
      </c>
      <c r="I21" s="232">
        <f>Exigences!AG38</f>
        <v>0</v>
      </c>
    </row>
    <row r="22" spans="1:9" x14ac:dyDescent="0.25">
      <c r="A22">
        <f t="shared" si="1"/>
        <v>21</v>
      </c>
      <c r="B22" s="232" t="str">
        <f>Exigences!AA39</f>
        <v>Pas de plan d'actions à suggérer!</v>
      </c>
      <c r="C22" s="274" t="s">
        <v>607</v>
      </c>
      <c r="D22" s="232">
        <f>Exigences!AD39</f>
        <v>0</v>
      </c>
      <c r="E22" s="427">
        <v>43008</v>
      </c>
      <c r="F22" s="434">
        <f>Exigences!AE39</f>
        <v>0</v>
      </c>
      <c r="G22" s="274">
        <f t="shared" si="0"/>
        <v>-30720</v>
      </c>
      <c r="H22" s="436">
        <f>Exigences!AF39</f>
        <v>0</v>
      </c>
      <c r="I22" s="232">
        <f>Exigences!AG39</f>
        <v>0</v>
      </c>
    </row>
    <row r="23" spans="1:9" x14ac:dyDescent="0.25">
      <c r="A23">
        <f t="shared" si="1"/>
        <v>22</v>
      </c>
      <c r="B23" s="232" t="str">
        <f>Exigences!AA40</f>
        <v>Pas de plan d'actions à suggérer!</v>
      </c>
      <c r="C23" s="274" t="s">
        <v>607</v>
      </c>
      <c r="D23" s="232">
        <f>Exigences!AD40</f>
        <v>0</v>
      </c>
      <c r="E23" s="274"/>
      <c r="F23" s="434">
        <f>Exigences!AE40</f>
        <v>0</v>
      </c>
      <c r="G23" s="274">
        <f t="shared" si="0"/>
        <v>0</v>
      </c>
      <c r="H23" s="436">
        <f>Exigences!AF40</f>
        <v>0</v>
      </c>
      <c r="I23" s="232">
        <f>Exigences!AG40</f>
        <v>0</v>
      </c>
    </row>
    <row r="24" spans="1:9" x14ac:dyDescent="0.25">
      <c r="A24">
        <f t="shared" si="1"/>
        <v>23</v>
      </c>
      <c r="B24" s="232" t="str">
        <f>Exigences!AA41</f>
        <v>Pas de plan d'actions à suggérer!</v>
      </c>
      <c r="C24" s="274" t="s">
        <v>607</v>
      </c>
      <c r="D24" s="232">
        <f>Exigences!AD41</f>
        <v>0</v>
      </c>
      <c r="E24" s="274"/>
      <c r="F24" s="434">
        <f>Exigences!AE41</f>
        <v>0</v>
      </c>
      <c r="G24" s="274">
        <f t="shared" si="0"/>
        <v>0</v>
      </c>
      <c r="H24" s="436">
        <f>Exigences!AF41</f>
        <v>0</v>
      </c>
      <c r="I24" s="232">
        <f>Exigences!AG41</f>
        <v>0</v>
      </c>
    </row>
    <row r="25" spans="1:9" x14ac:dyDescent="0.25">
      <c r="A25">
        <f t="shared" si="1"/>
        <v>24</v>
      </c>
      <c r="B25" s="232" t="str">
        <f>Exigences!AA43</f>
        <v>Pas de plan d'actions à suggérer!</v>
      </c>
      <c r="C25" s="274" t="s">
        <v>607</v>
      </c>
      <c r="D25" s="232">
        <f>Exigences!AD43</f>
        <v>0</v>
      </c>
      <c r="E25" s="427">
        <v>43101</v>
      </c>
      <c r="F25" s="434">
        <f>Exigences!AE43</f>
        <v>0</v>
      </c>
      <c r="G25" s="274">
        <f t="shared" si="0"/>
        <v>-30786</v>
      </c>
      <c r="H25" s="436">
        <f>Exigences!AF43</f>
        <v>0</v>
      </c>
      <c r="I25" s="232">
        <f>Exigences!AG43</f>
        <v>0</v>
      </c>
    </row>
    <row r="26" spans="1:9" x14ac:dyDescent="0.25">
      <c r="A26">
        <f t="shared" si="1"/>
        <v>25</v>
      </c>
      <c r="B26" s="232" t="str">
        <f>Exigences!AA44</f>
        <v>Pas de plan d'actions à suggérer!</v>
      </c>
      <c r="C26" s="274" t="s">
        <v>607</v>
      </c>
      <c r="D26" s="232">
        <f>Exigences!AD44</f>
        <v>0</v>
      </c>
      <c r="E26" s="274"/>
      <c r="F26" s="434">
        <f>Exigences!AE44</f>
        <v>0</v>
      </c>
      <c r="G26" s="274">
        <f t="shared" si="0"/>
        <v>0</v>
      </c>
      <c r="H26" s="436">
        <f>Exigences!AF44</f>
        <v>0</v>
      </c>
      <c r="I26" s="232">
        <f>Exigences!AG44</f>
        <v>0</v>
      </c>
    </row>
    <row r="27" spans="1:9" x14ac:dyDescent="0.25">
      <c r="A27">
        <f t="shared" si="1"/>
        <v>26</v>
      </c>
      <c r="B27" s="232" t="str">
        <f>Exigences!AA45</f>
        <v>Pas de plan d'actions à suggérer!</v>
      </c>
      <c r="C27" s="274" t="s">
        <v>607</v>
      </c>
      <c r="D27" s="232">
        <f>Exigences!AD45</f>
        <v>0</v>
      </c>
      <c r="E27" s="274"/>
      <c r="F27" s="434">
        <f>Exigences!AE45</f>
        <v>0</v>
      </c>
      <c r="G27" s="274">
        <f t="shared" si="0"/>
        <v>0</v>
      </c>
      <c r="H27" s="436">
        <f>Exigences!AF45</f>
        <v>0</v>
      </c>
      <c r="I27" s="232">
        <f>Exigences!AG45</f>
        <v>0</v>
      </c>
    </row>
    <row r="28" spans="1:9" x14ac:dyDescent="0.25">
      <c r="A28">
        <f t="shared" si="1"/>
        <v>27</v>
      </c>
      <c r="B28" s="232" t="str">
        <f>Exigences!AA46</f>
        <v>Pas de plan d'actions à suggérer!</v>
      </c>
      <c r="C28" s="274" t="s">
        <v>607</v>
      </c>
      <c r="D28" s="232">
        <f>Exigences!AD46</f>
        <v>0</v>
      </c>
      <c r="E28" s="274"/>
      <c r="F28" s="434">
        <f>Exigences!AE46</f>
        <v>0</v>
      </c>
      <c r="G28" s="274">
        <f t="shared" si="0"/>
        <v>0</v>
      </c>
      <c r="H28" s="436">
        <f>Exigences!AF46</f>
        <v>0</v>
      </c>
      <c r="I28" s="232">
        <f>Exigences!AG46</f>
        <v>0</v>
      </c>
    </row>
    <row r="29" spans="1:9" x14ac:dyDescent="0.25">
      <c r="A29">
        <f t="shared" si="1"/>
        <v>28</v>
      </c>
      <c r="B29" s="232" t="str">
        <f>Exigences!AA49</f>
        <v>Pas de plan d'actions à suggérer!</v>
      </c>
      <c r="C29" s="274" t="s">
        <v>608</v>
      </c>
      <c r="D29" s="232">
        <f>Exigences!AD49</f>
        <v>0</v>
      </c>
      <c r="E29" s="427">
        <v>43160</v>
      </c>
      <c r="F29" s="434">
        <f>Exigences!AE49</f>
        <v>0</v>
      </c>
      <c r="G29" s="274">
        <f t="shared" si="0"/>
        <v>-30829</v>
      </c>
      <c r="H29" s="436">
        <f>Exigences!AF49</f>
        <v>0</v>
      </c>
      <c r="I29" s="232">
        <f>Exigences!AG49</f>
        <v>0</v>
      </c>
    </row>
    <row r="30" spans="1:9" x14ac:dyDescent="0.25">
      <c r="A30">
        <f t="shared" si="1"/>
        <v>29</v>
      </c>
      <c r="B30" s="232" t="str">
        <f>Exigences!AA50</f>
        <v>Pas de plan d'actions à suggérer!</v>
      </c>
      <c r="C30" s="274" t="s">
        <v>608</v>
      </c>
      <c r="D30" s="232">
        <f>Exigences!AD50</f>
        <v>0</v>
      </c>
      <c r="E30" s="274"/>
      <c r="F30" s="434">
        <f>Exigences!AE50</f>
        <v>0</v>
      </c>
      <c r="G30" s="274">
        <f t="shared" si="0"/>
        <v>0</v>
      </c>
      <c r="H30" s="436">
        <f>Exigences!AF50</f>
        <v>0</v>
      </c>
      <c r="I30" s="232">
        <f>Exigences!AG50</f>
        <v>0</v>
      </c>
    </row>
    <row r="31" spans="1:9" x14ac:dyDescent="0.25">
      <c r="A31">
        <f t="shared" si="1"/>
        <v>30</v>
      </c>
      <c r="B31" s="232" t="str">
        <f>Exigences!AA51</f>
        <v>Pas de plan d'actions à suggérer!</v>
      </c>
      <c r="C31" s="274" t="s">
        <v>608</v>
      </c>
      <c r="D31" s="232">
        <f>Exigences!AD51</f>
        <v>0</v>
      </c>
      <c r="E31" s="274"/>
      <c r="F31" s="434">
        <f>Exigences!AE51</f>
        <v>0</v>
      </c>
      <c r="G31" s="274">
        <f t="shared" si="0"/>
        <v>0</v>
      </c>
      <c r="H31" s="436">
        <f>Exigences!AF51</f>
        <v>0</v>
      </c>
      <c r="I31" s="232">
        <f>Exigences!AG51</f>
        <v>0</v>
      </c>
    </row>
    <row r="32" spans="1:9" x14ac:dyDescent="0.25">
      <c r="A32">
        <f t="shared" si="1"/>
        <v>31</v>
      </c>
      <c r="B32" s="232" t="str">
        <f>Exigences!AA53</f>
        <v>Pas de plan d'actions à suggérer!</v>
      </c>
      <c r="C32" s="274" t="s">
        <v>608</v>
      </c>
      <c r="D32" s="232">
        <f>Exigences!AD53</f>
        <v>0</v>
      </c>
      <c r="E32" s="427">
        <v>43160</v>
      </c>
      <c r="F32" s="434">
        <f>Exigences!AE53</f>
        <v>0</v>
      </c>
      <c r="G32" s="274">
        <f t="shared" si="0"/>
        <v>-30829</v>
      </c>
      <c r="H32" s="436">
        <f>Exigences!AF53</f>
        <v>0</v>
      </c>
      <c r="I32" s="232">
        <f>Exigences!AG53</f>
        <v>0</v>
      </c>
    </row>
    <row r="33" spans="1:9" x14ac:dyDescent="0.25">
      <c r="A33">
        <f t="shared" si="1"/>
        <v>32</v>
      </c>
      <c r="B33" s="232" t="str">
        <f>Exigences!AA54</f>
        <v>Pas de plan d'actions à suggérer!</v>
      </c>
      <c r="C33" s="274" t="s">
        <v>608</v>
      </c>
      <c r="D33" s="232">
        <f>Exigences!AD54</f>
        <v>0</v>
      </c>
      <c r="E33" s="274"/>
      <c r="F33" s="434">
        <f>Exigences!AE54</f>
        <v>0</v>
      </c>
      <c r="G33" s="274">
        <f t="shared" si="0"/>
        <v>0</v>
      </c>
      <c r="H33" s="436">
        <f>Exigences!AF54</f>
        <v>0</v>
      </c>
      <c r="I33" s="232">
        <f>Exigences!AG54</f>
        <v>0</v>
      </c>
    </row>
    <row r="34" spans="1:9" x14ac:dyDescent="0.25">
      <c r="A34">
        <f t="shared" si="1"/>
        <v>33</v>
      </c>
      <c r="B34" s="232" t="str">
        <f>Exigences!AA55</f>
        <v>Pas de plan d'actions à suggérer!</v>
      </c>
      <c r="C34" s="274" t="s">
        <v>608</v>
      </c>
      <c r="D34" s="232">
        <f>Exigences!AD55</f>
        <v>0</v>
      </c>
      <c r="E34" s="274"/>
      <c r="F34" s="434">
        <f>Exigences!AE55</f>
        <v>0</v>
      </c>
      <c r="G34" s="274">
        <f t="shared" ref="G34:G65" si="2">NETWORKDAYS(E34,F34)</f>
        <v>0</v>
      </c>
      <c r="H34" s="436">
        <f>Exigences!AF55</f>
        <v>0</v>
      </c>
      <c r="I34" s="232">
        <f>Exigences!AG55</f>
        <v>0</v>
      </c>
    </row>
    <row r="35" spans="1:9" x14ac:dyDescent="0.25">
      <c r="A35">
        <f t="shared" si="1"/>
        <v>34</v>
      </c>
      <c r="B35" s="232" t="str">
        <f>Exigences!AA56</f>
        <v>Pas de plan d'actions à suggérer!</v>
      </c>
      <c r="C35" s="274" t="s">
        <v>608</v>
      </c>
      <c r="D35" s="232">
        <f>Exigences!AD56</f>
        <v>0</v>
      </c>
      <c r="E35" s="274"/>
      <c r="F35" s="434">
        <f>Exigences!AE56</f>
        <v>0</v>
      </c>
      <c r="G35" s="274">
        <f t="shared" si="2"/>
        <v>0</v>
      </c>
      <c r="H35" s="436">
        <f>Exigences!AF56</f>
        <v>0</v>
      </c>
      <c r="I35" s="232">
        <f>Exigences!AG56</f>
        <v>0</v>
      </c>
    </row>
    <row r="36" spans="1:9" x14ac:dyDescent="0.25">
      <c r="A36">
        <f t="shared" si="1"/>
        <v>35</v>
      </c>
      <c r="B36" s="232" t="str">
        <f>Exigences!AA58</f>
        <v>Pas de plan d'actions à suggérer!</v>
      </c>
      <c r="C36" s="274" t="s">
        <v>608</v>
      </c>
      <c r="D36" s="232">
        <f>Exigences!AD58</f>
        <v>0</v>
      </c>
      <c r="E36" s="274"/>
      <c r="F36" s="434">
        <f>Exigences!AE58</f>
        <v>0</v>
      </c>
      <c r="G36" s="274">
        <f t="shared" si="2"/>
        <v>0</v>
      </c>
      <c r="H36" s="436">
        <f>Exigences!AF58</f>
        <v>0</v>
      </c>
      <c r="I36" s="232">
        <f>Exigences!AG58</f>
        <v>0</v>
      </c>
    </row>
    <row r="37" spans="1:9" x14ac:dyDescent="0.25">
      <c r="A37">
        <f t="shared" si="1"/>
        <v>36</v>
      </c>
      <c r="B37" s="232" t="str">
        <f>Exigences!AA59</f>
        <v>Pas de plan d'actions à suggérer!</v>
      </c>
      <c r="C37" s="274" t="s">
        <v>608</v>
      </c>
      <c r="D37" s="232">
        <f>Exigences!AD59</f>
        <v>0</v>
      </c>
      <c r="E37" s="274"/>
      <c r="F37" s="434">
        <f>Exigences!AE59</f>
        <v>0</v>
      </c>
      <c r="G37" s="274">
        <f t="shared" si="2"/>
        <v>0</v>
      </c>
      <c r="H37" s="436">
        <f>Exigences!AF59</f>
        <v>0</v>
      </c>
      <c r="I37" s="232">
        <f>Exigences!AG59</f>
        <v>0</v>
      </c>
    </row>
    <row r="38" spans="1:9" x14ac:dyDescent="0.25">
      <c r="A38">
        <f t="shared" si="1"/>
        <v>37</v>
      </c>
      <c r="B38" s="232" t="str">
        <f>Exigences!AA62</f>
        <v>Pas de plan d'actions à suggérer!</v>
      </c>
      <c r="C38" s="274" t="s">
        <v>609</v>
      </c>
      <c r="D38" s="232">
        <f>Exigences!AD62</f>
        <v>0</v>
      </c>
      <c r="E38" s="427">
        <v>43101</v>
      </c>
      <c r="F38" s="434">
        <f>Exigences!AE62</f>
        <v>0</v>
      </c>
      <c r="G38" s="274">
        <f t="shared" si="2"/>
        <v>-30786</v>
      </c>
      <c r="H38" s="436">
        <f>Exigences!AF62</f>
        <v>0</v>
      </c>
      <c r="I38" s="232">
        <f>Exigences!AG62</f>
        <v>0</v>
      </c>
    </row>
    <row r="39" spans="1:9" x14ac:dyDescent="0.25">
      <c r="A39">
        <f t="shared" si="1"/>
        <v>38</v>
      </c>
      <c r="B39" s="232" t="str">
        <f>Exigences!AA63</f>
        <v>Pas de plan d'actions à suggérer!</v>
      </c>
      <c r="C39" s="274" t="s">
        <v>609</v>
      </c>
      <c r="D39" s="232">
        <f>Exigences!AD63</f>
        <v>0</v>
      </c>
      <c r="E39" s="274"/>
      <c r="F39" s="434">
        <f>Exigences!AE63</f>
        <v>0</v>
      </c>
      <c r="G39" s="274">
        <f t="shared" si="2"/>
        <v>0</v>
      </c>
      <c r="H39" s="436">
        <f>Exigences!AF63</f>
        <v>0</v>
      </c>
      <c r="I39" s="232">
        <f>Exigences!AG63</f>
        <v>0</v>
      </c>
    </row>
    <row r="40" spans="1:9" x14ac:dyDescent="0.25">
      <c r="A40">
        <f t="shared" si="1"/>
        <v>39</v>
      </c>
      <c r="B40" s="232" t="str">
        <f>Exigences!AA64</f>
        <v>Pas de plan d'actions à suggérer!</v>
      </c>
      <c r="C40" s="274" t="s">
        <v>609</v>
      </c>
      <c r="D40" s="232">
        <f>Exigences!AD64</f>
        <v>0</v>
      </c>
      <c r="E40" s="274"/>
      <c r="F40" s="434">
        <f>Exigences!AE64</f>
        <v>0</v>
      </c>
      <c r="G40" s="274">
        <f t="shared" si="2"/>
        <v>0</v>
      </c>
      <c r="H40" s="436">
        <f>Exigences!AF64</f>
        <v>0</v>
      </c>
      <c r="I40" s="232">
        <f>Exigences!AG64</f>
        <v>0</v>
      </c>
    </row>
    <row r="41" spans="1:9" x14ac:dyDescent="0.25">
      <c r="A41">
        <f t="shared" si="1"/>
        <v>40</v>
      </c>
      <c r="B41" s="232" t="str">
        <f>Exigences!AA65</f>
        <v>Pas de plan d'actions à suggérer!</v>
      </c>
      <c r="C41" s="274" t="s">
        <v>609</v>
      </c>
      <c r="D41" s="232">
        <f>Exigences!AD65</f>
        <v>0</v>
      </c>
      <c r="E41" s="274"/>
      <c r="F41" s="434">
        <f>Exigences!AE65</f>
        <v>0</v>
      </c>
      <c r="G41" s="274">
        <f t="shared" si="2"/>
        <v>0</v>
      </c>
      <c r="H41" s="436">
        <f>Exigences!AF65</f>
        <v>0</v>
      </c>
      <c r="I41" s="232">
        <f>Exigences!AG65</f>
        <v>0</v>
      </c>
    </row>
    <row r="42" spans="1:9" x14ac:dyDescent="0.25">
      <c r="A42">
        <f t="shared" si="1"/>
        <v>41</v>
      </c>
      <c r="B42" s="232" t="str">
        <f>Exigences!AA66</f>
        <v>Pas de plan d'actions à suggérer!</v>
      </c>
      <c r="C42" s="274" t="s">
        <v>609</v>
      </c>
      <c r="D42" s="232">
        <f>Exigences!AD66</f>
        <v>0</v>
      </c>
      <c r="E42" s="274"/>
      <c r="F42" s="434">
        <f>Exigences!AE66</f>
        <v>0</v>
      </c>
      <c r="G42" s="274">
        <f t="shared" si="2"/>
        <v>0</v>
      </c>
      <c r="H42" s="436">
        <f>Exigences!AF66</f>
        <v>0</v>
      </c>
      <c r="I42" s="232">
        <f>Exigences!AG66</f>
        <v>0</v>
      </c>
    </row>
    <row r="43" spans="1:9" x14ac:dyDescent="0.25">
      <c r="A43">
        <f t="shared" si="1"/>
        <v>42</v>
      </c>
      <c r="B43" s="232" t="str">
        <f>Exigences!AA67</f>
        <v>Pas de plan d'actions à suggérer!</v>
      </c>
      <c r="C43" s="274" t="s">
        <v>609</v>
      </c>
      <c r="D43" s="232">
        <f>Exigences!AD67</f>
        <v>0</v>
      </c>
      <c r="E43" s="274"/>
      <c r="F43" s="434">
        <f>Exigences!AE67</f>
        <v>0</v>
      </c>
      <c r="G43" s="274">
        <f t="shared" si="2"/>
        <v>0</v>
      </c>
      <c r="H43" s="436">
        <f>Exigences!AF67</f>
        <v>0</v>
      </c>
      <c r="I43" s="232">
        <f>Exigences!AG67</f>
        <v>0</v>
      </c>
    </row>
    <row r="44" spans="1:9" x14ac:dyDescent="0.25">
      <c r="A44">
        <f t="shared" si="1"/>
        <v>43</v>
      </c>
      <c r="B44" s="232" t="str">
        <f>Exigences!AA68</f>
        <v>Pas de plan d'actions à suggérer!</v>
      </c>
      <c r="C44" s="274" t="s">
        <v>609</v>
      </c>
      <c r="D44" s="232">
        <f>Exigences!AD68</f>
        <v>0</v>
      </c>
      <c r="E44" s="274"/>
      <c r="F44" s="434">
        <f>Exigences!AE68</f>
        <v>0</v>
      </c>
      <c r="G44" s="274">
        <f t="shared" si="2"/>
        <v>0</v>
      </c>
      <c r="H44" s="436">
        <f>Exigences!AF68</f>
        <v>0</v>
      </c>
      <c r="I44" s="232">
        <f>Exigences!AG68</f>
        <v>0</v>
      </c>
    </row>
    <row r="45" spans="1:9" x14ac:dyDescent="0.25">
      <c r="A45">
        <f t="shared" si="1"/>
        <v>44</v>
      </c>
      <c r="B45" s="232" t="str">
        <f>Exigences!AA69</f>
        <v>Pas de plan d'actions à suggérer!</v>
      </c>
      <c r="C45" s="274" t="s">
        <v>609</v>
      </c>
      <c r="D45" s="232">
        <f>Exigences!AD69</f>
        <v>0</v>
      </c>
      <c r="E45" s="274"/>
      <c r="F45" s="434">
        <f>Exigences!AE69</f>
        <v>0</v>
      </c>
      <c r="G45" s="274">
        <f t="shared" si="2"/>
        <v>0</v>
      </c>
      <c r="H45" s="436">
        <f>Exigences!AF69</f>
        <v>0</v>
      </c>
      <c r="I45" s="232">
        <f>Exigences!AG69</f>
        <v>0</v>
      </c>
    </row>
    <row r="46" spans="1:9" x14ac:dyDescent="0.25">
      <c r="A46">
        <f t="shared" si="1"/>
        <v>45</v>
      </c>
      <c r="B46" s="232" t="str">
        <f>Exigences!AA70</f>
        <v>Pas de plan d'actions à suggérer!</v>
      </c>
      <c r="C46" s="274" t="s">
        <v>609</v>
      </c>
      <c r="D46" s="232">
        <f>Exigences!AD70</f>
        <v>0</v>
      </c>
      <c r="E46" s="274"/>
      <c r="F46" s="434">
        <f>Exigences!AE70</f>
        <v>0</v>
      </c>
      <c r="G46" s="274">
        <f t="shared" si="2"/>
        <v>0</v>
      </c>
      <c r="H46" s="436">
        <f>Exigences!AF70</f>
        <v>0</v>
      </c>
      <c r="I46" s="232">
        <f>Exigences!AG70</f>
        <v>0</v>
      </c>
    </row>
    <row r="47" spans="1:9" x14ac:dyDescent="0.25">
      <c r="A47">
        <f t="shared" si="1"/>
        <v>46</v>
      </c>
      <c r="B47" s="232" t="str">
        <f>Exigences!AA72</f>
        <v>Pas de plan d'actions à suggérer!</v>
      </c>
      <c r="C47" s="274" t="s">
        <v>609</v>
      </c>
      <c r="D47" s="232">
        <f>Exigences!AD72</f>
        <v>0</v>
      </c>
      <c r="E47" s="427">
        <v>43435</v>
      </c>
      <c r="F47" s="434">
        <f>Exigences!AE72</f>
        <v>0</v>
      </c>
      <c r="G47" s="274">
        <f t="shared" si="2"/>
        <v>-31025</v>
      </c>
      <c r="H47" s="436">
        <f>Exigences!AF72</f>
        <v>0</v>
      </c>
      <c r="I47" s="232">
        <f>Exigences!AG72</f>
        <v>0</v>
      </c>
    </row>
    <row r="48" spans="1:9" x14ac:dyDescent="0.25">
      <c r="A48">
        <f t="shared" si="1"/>
        <v>47</v>
      </c>
      <c r="B48" s="232" t="str">
        <f>Exigences!AA73</f>
        <v>Pas de plan d'actions à suggérer!</v>
      </c>
      <c r="C48" s="274" t="s">
        <v>609</v>
      </c>
      <c r="D48" s="232">
        <f>Exigences!AD73</f>
        <v>0</v>
      </c>
      <c r="E48" s="274"/>
      <c r="F48" s="434">
        <f>Exigences!AE73</f>
        <v>0</v>
      </c>
      <c r="G48" s="274">
        <f t="shared" si="2"/>
        <v>0</v>
      </c>
      <c r="H48" s="436">
        <f>Exigences!AF73</f>
        <v>0</v>
      </c>
      <c r="I48" s="232">
        <f>Exigences!AG73</f>
        <v>0</v>
      </c>
    </row>
    <row r="49" spans="1:9" x14ac:dyDescent="0.25">
      <c r="A49">
        <f t="shared" si="1"/>
        <v>48</v>
      </c>
      <c r="B49" s="232" t="str">
        <f>Exigences!AA75</f>
        <v>Pas de plan d'actions à suggérer!</v>
      </c>
      <c r="C49" s="274" t="s">
        <v>609</v>
      </c>
      <c r="D49" s="232">
        <f>Exigences!AD75</f>
        <v>0</v>
      </c>
      <c r="E49" s="427">
        <v>43282</v>
      </c>
      <c r="F49" s="434">
        <f>Exigences!AE75</f>
        <v>0</v>
      </c>
      <c r="G49" s="274">
        <f t="shared" si="2"/>
        <v>-30915</v>
      </c>
      <c r="H49" s="436">
        <f>Exigences!AF75</f>
        <v>0</v>
      </c>
      <c r="I49" s="232">
        <f>Exigences!AG75</f>
        <v>0</v>
      </c>
    </row>
    <row r="50" spans="1:9" x14ac:dyDescent="0.25">
      <c r="A50">
        <f t="shared" si="1"/>
        <v>49</v>
      </c>
      <c r="B50" s="232" t="str">
        <f>Exigences!AA76</f>
        <v>Pas de plan d'actions à suggérer!</v>
      </c>
      <c r="C50" s="274" t="s">
        <v>609</v>
      </c>
      <c r="D50" s="232">
        <f>Exigences!AD76</f>
        <v>0</v>
      </c>
      <c r="E50" s="274"/>
      <c r="F50" s="434">
        <f>Exigences!AE76</f>
        <v>0</v>
      </c>
      <c r="G50" s="274">
        <f t="shared" si="2"/>
        <v>0</v>
      </c>
      <c r="H50" s="436">
        <f>Exigences!AF76</f>
        <v>0</v>
      </c>
      <c r="I50" s="232">
        <f>Exigences!AG76</f>
        <v>0</v>
      </c>
    </row>
    <row r="51" spans="1:9" x14ac:dyDescent="0.25">
      <c r="A51">
        <f t="shared" si="1"/>
        <v>50</v>
      </c>
      <c r="B51" s="232" t="str">
        <f>Exigences!AA78</f>
        <v>Pas de plan d'actions à suggérer!</v>
      </c>
      <c r="C51" s="274" t="s">
        <v>609</v>
      </c>
      <c r="D51" s="232">
        <f>Exigences!AD78</f>
        <v>0</v>
      </c>
      <c r="E51" s="427">
        <v>43160</v>
      </c>
      <c r="F51" s="434">
        <f>Exigences!AE78</f>
        <v>0</v>
      </c>
      <c r="G51" s="274">
        <f t="shared" si="2"/>
        <v>-30829</v>
      </c>
      <c r="H51" s="436">
        <f>Exigences!AF78</f>
        <v>0</v>
      </c>
      <c r="I51" s="232">
        <f>Exigences!AG78</f>
        <v>0</v>
      </c>
    </row>
    <row r="52" spans="1:9" x14ac:dyDescent="0.25">
      <c r="A52">
        <f t="shared" si="1"/>
        <v>51</v>
      </c>
      <c r="B52" s="232" t="str">
        <f>Exigences!AA79</f>
        <v>Pas de plan d'actions à suggérer!</v>
      </c>
      <c r="C52" s="274" t="s">
        <v>609</v>
      </c>
      <c r="D52" s="232">
        <f>Exigences!AD79</f>
        <v>0</v>
      </c>
      <c r="E52" s="274"/>
      <c r="F52" s="434">
        <f>Exigences!AE79</f>
        <v>0</v>
      </c>
      <c r="G52" s="274">
        <f t="shared" si="2"/>
        <v>0</v>
      </c>
      <c r="H52" s="436">
        <f>Exigences!AF79</f>
        <v>0</v>
      </c>
      <c r="I52" s="232">
        <f>Exigences!AG79</f>
        <v>0</v>
      </c>
    </row>
    <row r="53" spans="1:9" x14ac:dyDescent="0.25">
      <c r="A53">
        <f t="shared" si="1"/>
        <v>52</v>
      </c>
      <c r="B53" s="232" t="str">
        <f>Exigences!AA81</f>
        <v>Pas de plan d'actions à suggérer!</v>
      </c>
      <c r="C53" s="274" t="s">
        <v>609</v>
      </c>
      <c r="D53" s="232">
        <f>Exigences!AD81</f>
        <v>0</v>
      </c>
      <c r="E53" s="274"/>
      <c r="F53" s="434">
        <f>Exigences!AE81</f>
        <v>0</v>
      </c>
      <c r="G53" s="274">
        <f t="shared" si="2"/>
        <v>0</v>
      </c>
      <c r="H53" s="436">
        <f>Exigences!AF81</f>
        <v>0</v>
      </c>
      <c r="I53" s="232">
        <f>Exigences!AG81</f>
        <v>0</v>
      </c>
    </row>
    <row r="54" spans="1:9" x14ac:dyDescent="0.25">
      <c r="A54">
        <f t="shared" si="1"/>
        <v>53</v>
      </c>
      <c r="B54" s="232" t="str">
        <f>Exigences!AA82</f>
        <v>Pas de plan d'actions à suggérer!</v>
      </c>
      <c r="C54" s="274" t="s">
        <v>609</v>
      </c>
      <c r="D54" s="232">
        <f>Exigences!AD82</f>
        <v>0</v>
      </c>
      <c r="E54" s="274"/>
      <c r="F54" s="434">
        <f>Exigences!AE82</f>
        <v>0</v>
      </c>
      <c r="G54" s="274">
        <f t="shared" si="2"/>
        <v>0</v>
      </c>
      <c r="H54" s="436">
        <f>Exigences!AF82</f>
        <v>0</v>
      </c>
      <c r="I54" s="232">
        <f>Exigences!AG82</f>
        <v>0</v>
      </c>
    </row>
    <row r="55" spans="1:9" x14ac:dyDescent="0.25">
      <c r="A55">
        <f t="shared" si="1"/>
        <v>54</v>
      </c>
      <c r="B55" s="232" t="str">
        <f>Exigences!AA83</f>
        <v>Pas de plan d'actions à suggérer!</v>
      </c>
      <c r="C55" s="274" t="s">
        <v>609</v>
      </c>
      <c r="D55" s="232">
        <f>Exigences!AD83</f>
        <v>0</v>
      </c>
      <c r="E55" s="274"/>
      <c r="F55" s="434">
        <f>Exigences!AE83</f>
        <v>0</v>
      </c>
      <c r="G55" s="274">
        <f t="shared" si="2"/>
        <v>0</v>
      </c>
      <c r="H55" s="436">
        <f>Exigences!AF83</f>
        <v>0</v>
      </c>
      <c r="I55" s="232">
        <f>Exigences!AG83</f>
        <v>0</v>
      </c>
    </row>
    <row r="56" spans="1:9" x14ac:dyDescent="0.25">
      <c r="A56">
        <f t="shared" si="1"/>
        <v>55</v>
      </c>
      <c r="B56" s="232" t="str">
        <f>Exigences!AA84</f>
        <v>Pas de plan d'actions à suggérer!</v>
      </c>
      <c r="C56" s="274" t="s">
        <v>609</v>
      </c>
      <c r="D56" s="232">
        <f>Exigences!AD84</f>
        <v>0</v>
      </c>
      <c r="E56" s="427">
        <v>43256</v>
      </c>
      <c r="F56" s="434">
        <f>Exigences!AE84</f>
        <v>0</v>
      </c>
      <c r="G56" s="274">
        <f t="shared" si="2"/>
        <v>-30897</v>
      </c>
      <c r="H56" s="436">
        <f>Exigences!AF84</f>
        <v>0</v>
      </c>
      <c r="I56" s="232">
        <f>Exigences!AG84</f>
        <v>0</v>
      </c>
    </row>
    <row r="57" spans="1:9" x14ac:dyDescent="0.25">
      <c r="A57">
        <f t="shared" si="1"/>
        <v>56</v>
      </c>
      <c r="B57" s="232" t="str">
        <f>Exigences!AA85</f>
        <v>Pas de plan d'actions à suggérer!</v>
      </c>
      <c r="C57" s="274" t="s">
        <v>609</v>
      </c>
      <c r="D57" s="232">
        <f>Exigences!AD85</f>
        <v>0</v>
      </c>
      <c r="E57" s="274"/>
      <c r="F57" s="434">
        <f>Exigences!AE85</f>
        <v>0</v>
      </c>
      <c r="G57" s="274">
        <f t="shared" si="2"/>
        <v>0</v>
      </c>
      <c r="H57" s="436">
        <f>Exigences!AF85</f>
        <v>0</v>
      </c>
      <c r="I57" s="232">
        <f>Exigences!AG85</f>
        <v>0</v>
      </c>
    </row>
    <row r="58" spans="1:9" x14ac:dyDescent="0.25">
      <c r="A58">
        <f t="shared" si="1"/>
        <v>57</v>
      </c>
      <c r="B58" s="232" t="str">
        <f>Exigences!AA88</f>
        <v>Pas de plan d'actions à suggérer!</v>
      </c>
      <c r="C58" s="274" t="s">
        <v>610</v>
      </c>
      <c r="D58" s="232">
        <f>Exigences!AD88</f>
        <v>0</v>
      </c>
      <c r="E58" s="274"/>
      <c r="F58" s="434">
        <f>Exigences!AE88</f>
        <v>0</v>
      </c>
      <c r="G58" s="274">
        <f t="shared" si="2"/>
        <v>0</v>
      </c>
      <c r="H58" s="436">
        <f>Exigences!AF88</f>
        <v>0</v>
      </c>
      <c r="I58" s="232">
        <f>Exigences!AG88</f>
        <v>0</v>
      </c>
    </row>
    <row r="59" spans="1:9" x14ac:dyDescent="0.25">
      <c r="A59">
        <f t="shared" si="1"/>
        <v>58</v>
      </c>
      <c r="B59" s="232" t="str">
        <f>Exigences!AA89</f>
        <v>Pas de plan d'actions à suggérer!</v>
      </c>
      <c r="C59" s="274" t="s">
        <v>610</v>
      </c>
      <c r="D59" s="232">
        <f>Exigences!AD89</f>
        <v>0</v>
      </c>
      <c r="E59" s="274"/>
      <c r="F59" s="434">
        <f>Exigences!AE89</f>
        <v>0</v>
      </c>
      <c r="G59" s="274">
        <f t="shared" si="2"/>
        <v>0</v>
      </c>
      <c r="H59" s="436">
        <f>Exigences!AF89</f>
        <v>0</v>
      </c>
      <c r="I59" s="232">
        <f>Exigences!AG89</f>
        <v>0</v>
      </c>
    </row>
    <row r="60" spans="1:9" x14ac:dyDescent="0.25">
      <c r="A60">
        <f t="shared" si="1"/>
        <v>59</v>
      </c>
      <c r="B60" s="232" t="str">
        <f>Exigences!AA90</f>
        <v>Pas de plan d'actions à suggérer!</v>
      </c>
      <c r="C60" s="274" t="s">
        <v>610</v>
      </c>
      <c r="D60" s="232">
        <f>Exigences!AD90</f>
        <v>0</v>
      </c>
      <c r="E60" s="274"/>
      <c r="F60" s="434">
        <f>Exigences!AE90</f>
        <v>0</v>
      </c>
      <c r="G60" s="274">
        <f t="shared" si="2"/>
        <v>0</v>
      </c>
      <c r="H60" s="436">
        <f>Exigences!AF90</f>
        <v>0</v>
      </c>
      <c r="I60" s="232">
        <f>Exigences!AG90</f>
        <v>0</v>
      </c>
    </row>
    <row r="61" spans="1:9" x14ac:dyDescent="0.25">
      <c r="A61">
        <f t="shared" si="1"/>
        <v>60</v>
      </c>
      <c r="B61" s="232" t="str">
        <f>Exigences!AA91</f>
        <v>Pas de plan d'actions à suggérer!</v>
      </c>
      <c r="C61" s="274" t="s">
        <v>610</v>
      </c>
      <c r="D61" s="232">
        <f>Exigences!AD91</f>
        <v>0</v>
      </c>
      <c r="E61" s="274"/>
      <c r="F61" s="434">
        <f>Exigences!AE91</f>
        <v>0</v>
      </c>
      <c r="G61" s="274">
        <f t="shared" si="2"/>
        <v>0</v>
      </c>
      <c r="H61" s="436">
        <f>Exigences!AF91</f>
        <v>0</v>
      </c>
      <c r="I61" s="232">
        <f>Exigences!AG91</f>
        <v>0</v>
      </c>
    </row>
    <row r="62" spans="1:9" x14ac:dyDescent="0.25">
      <c r="A62">
        <f t="shared" si="1"/>
        <v>61</v>
      </c>
      <c r="B62" s="232" t="str">
        <f>Exigences!AA92</f>
        <v>Pas de plan d'actions à suggérer!</v>
      </c>
      <c r="C62" s="274" t="s">
        <v>610</v>
      </c>
      <c r="D62" s="232">
        <f>Exigences!AD92</f>
        <v>0</v>
      </c>
      <c r="E62" s="274"/>
      <c r="F62" s="434">
        <f>Exigences!AE92</f>
        <v>0</v>
      </c>
      <c r="G62" s="274">
        <f t="shared" si="2"/>
        <v>0</v>
      </c>
      <c r="H62" s="436">
        <f>Exigences!AF92</f>
        <v>0</v>
      </c>
      <c r="I62" s="232">
        <f>Exigences!AG92</f>
        <v>0</v>
      </c>
    </row>
    <row r="63" spans="1:9" x14ac:dyDescent="0.25">
      <c r="A63">
        <f t="shared" si="1"/>
        <v>62</v>
      </c>
      <c r="B63" s="232" t="str">
        <f>Exigences!AA93</f>
        <v>Pas de plan d'actions à suggérer!</v>
      </c>
      <c r="C63" s="274" t="s">
        <v>610</v>
      </c>
      <c r="D63" s="232">
        <f>Exigences!AD93</f>
        <v>0</v>
      </c>
      <c r="E63" s="274"/>
      <c r="F63" s="434">
        <f>Exigences!AE93</f>
        <v>0</v>
      </c>
      <c r="G63" s="274">
        <f t="shared" si="2"/>
        <v>0</v>
      </c>
      <c r="H63" s="436">
        <f>Exigences!AF93</f>
        <v>0</v>
      </c>
      <c r="I63" s="232">
        <f>Exigences!AG93</f>
        <v>0</v>
      </c>
    </row>
    <row r="64" spans="1:9" x14ac:dyDescent="0.25">
      <c r="A64">
        <f t="shared" si="1"/>
        <v>63</v>
      </c>
      <c r="B64" s="232" t="str">
        <f>Exigences!AA95</f>
        <v>Pas de plan d'actions à suggérer!</v>
      </c>
      <c r="C64" s="274" t="s">
        <v>610</v>
      </c>
      <c r="D64" s="232">
        <f>Exigences!AD95</f>
        <v>0</v>
      </c>
      <c r="E64" s="427">
        <v>43256</v>
      </c>
      <c r="F64" s="434">
        <f>Exigences!AE95</f>
        <v>0</v>
      </c>
      <c r="G64" s="274">
        <f t="shared" si="2"/>
        <v>-30897</v>
      </c>
      <c r="H64" s="436">
        <f>Exigences!AF95</f>
        <v>0</v>
      </c>
      <c r="I64" s="232">
        <f>Exigences!AG95</f>
        <v>0</v>
      </c>
    </row>
    <row r="65" spans="1:9" x14ac:dyDescent="0.25">
      <c r="A65">
        <f t="shared" si="1"/>
        <v>64</v>
      </c>
      <c r="B65" s="232" t="str">
        <f>Exigences!AA96</f>
        <v>Pas de plan d'actions à suggérer!</v>
      </c>
      <c r="C65" s="274" t="s">
        <v>610</v>
      </c>
      <c r="D65" s="232">
        <f>Exigences!AD96</f>
        <v>0</v>
      </c>
      <c r="E65" s="274"/>
      <c r="F65" s="434">
        <f>Exigences!AE96</f>
        <v>0</v>
      </c>
      <c r="G65" s="274">
        <f t="shared" si="2"/>
        <v>0</v>
      </c>
      <c r="H65" s="436">
        <f>Exigences!AF96</f>
        <v>0</v>
      </c>
      <c r="I65" s="232">
        <f>Exigences!AG96</f>
        <v>0</v>
      </c>
    </row>
    <row r="66" spans="1:9" x14ac:dyDescent="0.25">
      <c r="A66">
        <f t="shared" si="1"/>
        <v>65</v>
      </c>
      <c r="B66" s="232" t="str">
        <f>Exigences!AA97</f>
        <v>Pas de plan d'actions à suggérer!</v>
      </c>
      <c r="C66" s="274" t="s">
        <v>610</v>
      </c>
      <c r="D66" s="232">
        <f>Exigences!AD97</f>
        <v>0</v>
      </c>
      <c r="E66" s="274"/>
      <c r="F66" s="434">
        <f>Exigences!AE97</f>
        <v>0</v>
      </c>
      <c r="G66" s="274">
        <f t="shared" ref="G66:G97" si="3">NETWORKDAYS(E66,F66)</f>
        <v>0</v>
      </c>
      <c r="H66" s="436">
        <f>Exigences!AF97</f>
        <v>0</v>
      </c>
      <c r="I66" s="232">
        <f>Exigences!AG97</f>
        <v>0</v>
      </c>
    </row>
    <row r="67" spans="1:9" x14ac:dyDescent="0.25">
      <c r="A67">
        <f t="shared" si="1"/>
        <v>66</v>
      </c>
      <c r="B67" s="232" t="str">
        <f>Exigences!AA98</f>
        <v>Pas de plan d'actions à suggérer!</v>
      </c>
      <c r="C67" s="274" t="s">
        <v>610</v>
      </c>
      <c r="D67" s="232">
        <f>Exigences!AD98</f>
        <v>0</v>
      </c>
      <c r="E67" s="274"/>
      <c r="F67" s="434">
        <f>Exigences!AE98</f>
        <v>0</v>
      </c>
      <c r="G67" s="274">
        <f t="shared" si="3"/>
        <v>0</v>
      </c>
      <c r="H67" s="436">
        <f>Exigences!AF98</f>
        <v>0</v>
      </c>
      <c r="I67" s="232">
        <f>Exigences!AG98</f>
        <v>0</v>
      </c>
    </row>
    <row r="68" spans="1:9" x14ac:dyDescent="0.25">
      <c r="A68">
        <f t="shared" ref="A68:A119" si="4">1+A67</f>
        <v>67</v>
      </c>
      <c r="B68" s="232" t="str">
        <f>Exigences!AA99</f>
        <v>Pas de plan d'actions à suggérer!</v>
      </c>
      <c r="C68" s="274" t="s">
        <v>610</v>
      </c>
      <c r="D68" s="232">
        <f>Exigences!AD99</f>
        <v>0</v>
      </c>
      <c r="E68" s="274"/>
      <c r="F68" s="434">
        <f>Exigences!AE99</f>
        <v>0</v>
      </c>
      <c r="G68" s="274">
        <f t="shared" si="3"/>
        <v>0</v>
      </c>
      <c r="H68" s="436">
        <f>Exigences!AF99</f>
        <v>0</v>
      </c>
      <c r="I68" s="232">
        <f>Exigences!AG99</f>
        <v>0</v>
      </c>
    </row>
    <row r="69" spans="1:9" x14ac:dyDescent="0.25">
      <c r="A69">
        <f t="shared" si="4"/>
        <v>68</v>
      </c>
      <c r="B69" s="232" t="str">
        <f>Exigences!AA101</f>
        <v>Pas de plan d'actions à suggérer!</v>
      </c>
      <c r="C69" s="274" t="s">
        <v>610</v>
      </c>
      <c r="D69" s="232">
        <f>Exigences!AD101</f>
        <v>0</v>
      </c>
      <c r="E69" s="274"/>
      <c r="F69" s="434">
        <f>Exigences!AE101</f>
        <v>0</v>
      </c>
      <c r="G69" s="274">
        <f t="shared" si="3"/>
        <v>0</v>
      </c>
      <c r="H69" s="436">
        <f>Exigences!AF101</f>
        <v>0</v>
      </c>
      <c r="I69" s="232">
        <f>Exigences!AG101</f>
        <v>0</v>
      </c>
    </row>
    <row r="70" spans="1:9" x14ac:dyDescent="0.25">
      <c r="A70">
        <f t="shared" si="4"/>
        <v>69</v>
      </c>
      <c r="B70" s="232" t="str">
        <f>Exigences!AA102</f>
        <v>Pas de plan d'actions à suggérer!</v>
      </c>
      <c r="C70" s="274" t="s">
        <v>610</v>
      </c>
      <c r="D70" s="232">
        <f>Exigences!AD102</f>
        <v>0</v>
      </c>
      <c r="E70" s="274"/>
      <c r="F70" s="434">
        <f>Exigences!AE102</f>
        <v>0</v>
      </c>
      <c r="G70" s="274">
        <f t="shared" si="3"/>
        <v>0</v>
      </c>
      <c r="H70" s="436">
        <f>Exigences!AF102</f>
        <v>0</v>
      </c>
      <c r="I70" s="232">
        <f>Exigences!AG102</f>
        <v>0</v>
      </c>
    </row>
    <row r="71" spans="1:9" x14ac:dyDescent="0.25">
      <c r="A71">
        <f t="shared" si="4"/>
        <v>70</v>
      </c>
      <c r="B71" s="232" t="str">
        <f>Exigences!AA103</f>
        <v>Pas de plan d'actions à suggérer!</v>
      </c>
      <c r="C71" s="274" t="s">
        <v>610</v>
      </c>
      <c r="D71" s="232">
        <f>Exigences!AD103</f>
        <v>0</v>
      </c>
      <c r="E71" s="427">
        <v>43101</v>
      </c>
      <c r="F71" s="434">
        <f>Exigences!AE103</f>
        <v>0</v>
      </c>
      <c r="G71" s="274">
        <f t="shared" si="3"/>
        <v>-30786</v>
      </c>
      <c r="H71" s="436">
        <f>Exigences!AF103</f>
        <v>0</v>
      </c>
      <c r="I71" s="232">
        <f>Exigences!AG103</f>
        <v>0</v>
      </c>
    </row>
    <row r="72" spans="1:9" x14ac:dyDescent="0.25">
      <c r="A72">
        <f t="shared" si="4"/>
        <v>71</v>
      </c>
      <c r="B72" s="232" t="str">
        <f>Exigences!AA104</f>
        <v>Pas de plan d'actions à suggérer!</v>
      </c>
      <c r="C72" s="274" t="s">
        <v>610</v>
      </c>
      <c r="D72" s="232">
        <f>Exigences!AD104</f>
        <v>0</v>
      </c>
      <c r="E72" s="274"/>
      <c r="F72" s="434">
        <f>Exigences!AE104</f>
        <v>0</v>
      </c>
      <c r="G72" s="274">
        <f t="shared" si="3"/>
        <v>0</v>
      </c>
      <c r="H72" s="436">
        <f>Exigences!AF104</f>
        <v>0</v>
      </c>
      <c r="I72" s="232">
        <f>Exigences!AG104</f>
        <v>0</v>
      </c>
    </row>
    <row r="73" spans="1:9" x14ac:dyDescent="0.25">
      <c r="A73">
        <f t="shared" si="4"/>
        <v>72</v>
      </c>
      <c r="B73" s="232" t="str">
        <f>Exigences!AA105</f>
        <v>Pas de plan d'actions à suggérer!</v>
      </c>
      <c r="C73" s="274" t="s">
        <v>610</v>
      </c>
      <c r="D73" s="232">
        <f>Exigences!AD105</f>
        <v>0</v>
      </c>
      <c r="E73" s="274"/>
      <c r="F73" s="434">
        <f>Exigences!AE105</f>
        <v>0</v>
      </c>
      <c r="G73" s="274">
        <f t="shared" si="3"/>
        <v>0</v>
      </c>
      <c r="H73" s="436">
        <f>Exigences!AF105</f>
        <v>0</v>
      </c>
      <c r="I73" s="232">
        <f>Exigences!AG105</f>
        <v>0</v>
      </c>
    </row>
    <row r="74" spans="1:9" x14ac:dyDescent="0.25">
      <c r="A74">
        <f t="shared" si="4"/>
        <v>73</v>
      </c>
      <c r="B74" s="232" t="str">
        <f>Exigences!AA106</f>
        <v>Pas de plan d'actions à suggérer!</v>
      </c>
      <c r="C74" s="274" t="s">
        <v>610</v>
      </c>
      <c r="D74" s="232">
        <f>Exigences!AD106</f>
        <v>0</v>
      </c>
      <c r="E74" s="274"/>
      <c r="F74" s="434">
        <f>Exigences!AE106</f>
        <v>0</v>
      </c>
      <c r="G74" s="274">
        <f t="shared" si="3"/>
        <v>0</v>
      </c>
      <c r="H74" s="436">
        <f>Exigences!AF106</f>
        <v>0</v>
      </c>
      <c r="I74" s="232">
        <f>Exigences!AG106</f>
        <v>0</v>
      </c>
    </row>
    <row r="75" spans="1:9" x14ac:dyDescent="0.25">
      <c r="A75">
        <f t="shared" si="4"/>
        <v>74</v>
      </c>
      <c r="B75" s="232" t="str">
        <f>Exigences!AA107</f>
        <v>Pas de plan d'actions à suggérer!</v>
      </c>
      <c r="C75" s="274" t="s">
        <v>610</v>
      </c>
      <c r="D75" s="232">
        <f>Exigences!AD107</f>
        <v>0</v>
      </c>
      <c r="E75" s="274"/>
      <c r="F75" s="434">
        <f>Exigences!AE107</f>
        <v>0</v>
      </c>
      <c r="G75" s="274">
        <f t="shared" si="3"/>
        <v>0</v>
      </c>
      <c r="H75" s="436">
        <f>Exigences!AF107</f>
        <v>0</v>
      </c>
      <c r="I75" s="232">
        <f>Exigences!AG107</f>
        <v>0</v>
      </c>
    </row>
    <row r="76" spans="1:9" x14ac:dyDescent="0.25">
      <c r="A76">
        <f t="shared" si="4"/>
        <v>75</v>
      </c>
      <c r="B76" s="232" t="str">
        <f>Exigences!AA108</f>
        <v>Pas de plan d'actions à suggérer!</v>
      </c>
      <c r="C76" s="274" t="s">
        <v>610</v>
      </c>
      <c r="D76" s="232">
        <f>Exigences!AD108</f>
        <v>0</v>
      </c>
      <c r="E76" s="274"/>
      <c r="F76" s="434">
        <f>Exigences!AE108</f>
        <v>0</v>
      </c>
      <c r="G76" s="274">
        <f t="shared" si="3"/>
        <v>0</v>
      </c>
      <c r="H76" s="436">
        <f>Exigences!AF108</f>
        <v>0</v>
      </c>
      <c r="I76" s="232">
        <f>Exigences!AG108</f>
        <v>0</v>
      </c>
    </row>
    <row r="77" spans="1:9" x14ac:dyDescent="0.25">
      <c r="A77">
        <f t="shared" si="4"/>
        <v>76</v>
      </c>
      <c r="B77" s="232" t="str">
        <f>Exigences!AA109</f>
        <v>Pas de plan d'actions à suggérer!</v>
      </c>
      <c r="C77" s="274" t="s">
        <v>610</v>
      </c>
      <c r="D77" s="232">
        <f>Exigences!AD109</f>
        <v>0</v>
      </c>
      <c r="E77" s="274"/>
      <c r="F77" s="434">
        <f>Exigences!AE109</f>
        <v>0</v>
      </c>
      <c r="G77" s="274">
        <f t="shared" si="3"/>
        <v>0</v>
      </c>
      <c r="H77" s="436">
        <f>Exigences!AF109</f>
        <v>0</v>
      </c>
      <c r="I77" s="232">
        <f>Exigences!AG109</f>
        <v>0</v>
      </c>
    </row>
    <row r="78" spans="1:9" x14ac:dyDescent="0.25">
      <c r="A78">
        <f t="shared" si="4"/>
        <v>77</v>
      </c>
      <c r="B78" s="232" t="str">
        <f>Exigences!AA110</f>
        <v>Pas de plan d'actions à suggérer!</v>
      </c>
      <c r="C78" s="274" t="s">
        <v>610</v>
      </c>
      <c r="D78" s="232">
        <f>Exigences!AD110</f>
        <v>0</v>
      </c>
      <c r="E78" s="274"/>
      <c r="F78" s="434">
        <f>Exigences!AE110</f>
        <v>0</v>
      </c>
      <c r="G78" s="274">
        <f t="shared" si="3"/>
        <v>0</v>
      </c>
      <c r="H78" s="436">
        <f>Exigences!AF110</f>
        <v>0</v>
      </c>
      <c r="I78" s="232">
        <f>Exigences!AG110</f>
        <v>0</v>
      </c>
    </row>
    <row r="79" spans="1:9" x14ac:dyDescent="0.25">
      <c r="A79">
        <f t="shared" si="4"/>
        <v>78</v>
      </c>
      <c r="B79" s="232" t="str">
        <f>Exigences!AA112</f>
        <v>Pas de plan d'actions à suggérer!</v>
      </c>
      <c r="C79" s="274" t="s">
        <v>610</v>
      </c>
      <c r="D79" s="232">
        <f>Exigences!AD112</f>
        <v>0</v>
      </c>
      <c r="E79" s="274"/>
      <c r="F79" s="434">
        <f>Exigences!AE112</f>
        <v>0</v>
      </c>
      <c r="G79" s="274">
        <f t="shared" si="3"/>
        <v>0</v>
      </c>
      <c r="H79" s="436">
        <f>Exigences!AF112</f>
        <v>0</v>
      </c>
      <c r="I79" s="232">
        <f>Exigences!AG112</f>
        <v>0</v>
      </c>
    </row>
    <row r="80" spans="1:9" x14ac:dyDescent="0.25">
      <c r="A80">
        <f t="shared" si="4"/>
        <v>79</v>
      </c>
      <c r="B80" s="232" t="str">
        <f>Exigences!AA113</f>
        <v>Pas de plan d'actions à suggérer!</v>
      </c>
      <c r="C80" s="274" t="s">
        <v>610</v>
      </c>
      <c r="D80" s="232">
        <f>Exigences!AD113</f>
        <v>0</v>
      </c>
      <c r="E80" s="427">
        <v>43101</v>
      </c>
      <c r="F80" s="434">
        <f>Exigences!AE113</f>
        <v>0</v>
      </c>
      <c r="G80" s="274">
        <f t="shared" si="3"/>
        <v>-30786</v>
      </c>
      <c r="H80" s="436">
        <f>Exigences!AF113</f>
        <v>0</v>
      </c>
      <c r="I80" s="232">
        <f>Exigences!AG113</f>
        <v>0</v>
      </c>
    </row>
    <row r="81" spans="1:9" x14ac:dyDescent="0.25">
      <c r="A81">
        <f t="shared" si="4"/>
        <v>80</v>
      </c>
      <c r="B81" s="232" t="str">
        <f>Exigences!AA114</f>
        <v>Pas de plan d'actions à suggérer!</v>
      </c>
      <c r="C81" s="274" t="s">
        <v>610</v>
      </c>
      <c r="D81" s="232">
        <f>Exigences!AD114</f>
        <v>0</v>
      </c>
      <c r="E81" s="274"/>
      <c r="F81" s="434">
        <f>Exigences!AE114</f>
        <v>0</v>
      </c>
      <c r="G81" s="274">
        <f t="shared" si="3"/>
        <v>0</v>
      </c>
      <c r="H81" s="436">
        <f>Exigences!AF114</f>
        <v>0</v>
      </c>
      <c r="I81" s="232">
        <f>Exigences!AG114</f>
        <v>0</v>
      </c>
    </row>
    <row r="82" spans="1:9" x14ac:dyDescent="0.25">
      <c r="A82">
        <f t="shared" si="4"/>
        <v>81</v>
      </c>
      <c r="B82" s="232" t="str">
        <f>Exigences!AA115</f>
        <v>Pas de plan d'actions à suggérer!</v>
      </c>
      <c r="C82" s="274" t="s">
        <v>610</v>
      </c>
      <c r="D82" s="232">
        <f>Exigences!AD115</f>
        <v>0</v>
      </c>
      <c r="E82" s="274"/>
      <c r="F82" s="434">
        <f>Exigences!AE115</f>
        <v>0</v>
      </c>
      <c r="G82" s="274">
        <f t="shared" si="3"/>
        <v>0</v>
      </c>
      <c r="H82" s="436">
        <f>Exigences!AF115</f>
        <v>0</v>
      </c>
      <c r="I82" s="232">
        <f>Exigences!AG115</f>
        <v>0</v>
      </c>
    </row>
    <row r="83" spans="1:9" x14ac:dyDescent="0.25">
      <c r="A83">
        <f t="shared" si="4"/>
        <v>82</v>
      </c>
      <c r="B83" s="232" t="str">
        <f>Exigences!AA116</f>
        <v>Pas de plan d'actions à suggérer!</v>
      </c>
      <c r="C83" s="274" t="s">
        <v>610</v>
      </c>
      <c r="D83" s="232">
        <f>Exigences!AD116</f>
        <v>0</v>
      </c>
      <c r="E83" s="274"/>
      <c r="F83" s="434">
        <f>Exigences!AE116</f>
        <v>0</v>
      </c>
      <c r="G83" s="274">
        <f t="shared" si="3"/>
        <v>0</v>
      </c>
      <c r="H83" s="436">
        <f>Exigences!AF116</f>
        <v>0</v>
      </c>
      <c r="I83" s="232">
        <f>Exigences!AG116</f>
        <v>0</v>
      </c>
    </row>
    <row r="84" spans="1:9" x14ac:dyDescent="0.25">
      <c r="A84">
        <f t="shared" si="4"/>
        <v>83</v>
      </c>
      <c r="B84" s="232" t="str">
        <f>Exigences!AA117</f>
        <v>Pas de plan d'actions à suggérer!</v>
      </c>
      <c r="C84" s="274" t="s">
        <v>610</v>
      </c>
      <c r="D84" s="232">
        <f>Exigences!AD117</f>
        <v>0</v>
      </c>
      <c r="E84" s="274"/>
      <c r="F84" s="434">
        <f>Exigences!AE117</f>
        <v>0</v>
      </c>
      <c r="G84" s="274">
        <f t="shared" si="3"/>
        <v>0</v>
      </c>
      <c r="H84" s="436">
        <f>Exigences!AF117</f>
        <v>0</v>
      </c>
      <c r="I84" s="232">
        <f>Exigences!AG117</f>
        <v>0</v>
      </c>
    </row>
    <row r="85" spans="1:9" x14ac:dyDescent="0.25">
      <c r="A85">
        <f t="shared" si="4"/>
        <v>84</v>
      </c>
      <c r="B85" s="232" t="str">
        <f>Exigences!AA118</f>
        <v>Pas de plan d'actions à suggérer!</v>
      </c>
      <c r="C85" s="274" t="s">
        <v>610</v>
      </c>
      <c r="D85" s="232">
        <f>Exigences!AD118</f>
        <v>0</v>
      </c>
      <c r="E85" s="274"/>
      <c r="F85" s="434">
        <f>Exigences!AE118</f>
        <v>0</v>
      </c>
      <c r="G85" s="274">
        <f t="shared" si="3"/>
        <v>0</v>
      </c>
      <c r="H85" s="436">
        <f>Exigences!AF118</f>
        <v>0</v>
      </c>
      <c r="I85" s="232">
        <f>Exigences!AG118</f>
        <v>0</v>
      </c>
    </row>
    <row r="86" spans="1:9" x14ac:dyDescent="0.25">
      <c r="A86">
        <f t="shared" si="4"/>
        <v>85</v>
      </c>
      <c r="B86" s="232" t="str">
        <f>Exigences!AA119</f>
        <v>Pas de plan d'actions à suggérer!</v>
      </c>
      <c r="C86" s="274" t="s">
        <v>610</v>
      </c>
      <c r="D86" s="232">
        <f>Exigences!AD119</f>
        <v>0</v>
      </c>
      <c r="E86" s="274"/>
      <c r="F86" s="434">
        <f>Exigences!AE119</f>
        <v>0</v>
      </c>
      <c r="G86" s="274">
        <f t="shared" si="3"/>
        <v>0</v>
      </c>
      <c r="H86" s="436">
        <f>Exigences!AF119</f>
        <v>0</v>
      </c>
      <c r="I86" s="232">
        <f>Exigences!AG119</f>
        <v>0</v>
      </c>
    </row>
    <row r="87" spans="1:9" x14ac:dyDescent="0.25">
      <c r="A87">
        <f t="shared" si="4"/>
        <v>86</v>
      </c>
      <c r="B87" s="232" t="str">
        <f>Exigences!AA120</f>
        <v>Pas de plan d'actions à suggérer!</v>
      </c>
      <c r="C87" s="274" t="s">
        <v>610</v>
      </c>
      <c r="D87" s="232">
        <f>Exigences!AD120</f>
        <v>0</v>
      </c>
      <c r="E87" s="274"/>
      <c r="F87" s="434">
        <f>Exigences!AE120</f>
        <v>0</v>
      </c>
      <c r="G87" s="274">
        <f t="shared" si="3"/>
        <v>0</v>
      </c>
      <c r="H87" s="436">
        <f>Exigences!AF120</f>
        <v>0</v>
      </c>
      <c r="I87" s="232">
        <f>Exigences!AG120</f>
        <v>0</v>
      </c>
    </row>
    <row r="88" spans="1:9" x14ac:dyDescent="0.25">
      <c r="A88">
        <f t="shared" si="4"/>
        <v>87</v>
      </c>
      <c r="B88" s="232" t="str">
        <f>Exigences!AA121</f>
        <v>Pas de plan d'actions à suggérer!</v>
      </c>
      <c r="C88" s="274" t="s">
        <v>610</v>
      </c>
      <c r="D88" s="232">
        <f>Exigences!AD121</f>
        <v>0</v>
      </c>
      <c r="E88" s="274"/>
      <c r="F88" s="434">
        <f>Exigences!AE121</f>
        <v>0</v>
      </c>
      <c r="G88" s="274">
        <f t="shared" si="3"/>
        <v>0</v>
      </c>
      <c r="H88" s="436">
        <f>Exigences!AF121</f>
        <v>0</v>
      </c>
      <c r="I88" s="232">
        <f>Exigences!AG121</f>
        <v>0</v>
      </c>
    </row>
    <row r="89" spans="1:9" x14ac:dyDescent="0.25">
      <c r="A89">
        <f t="shared" si="4"/>
        <v>88</v>
      </c>
      <c r="B89" s="232" t="str">
        <f>Exigences!AA123</f>
        <v>Pas de plan d'actions à suggérer!</v>
      </c>
      <c r="C89" s="274" t="s">
        <v>610</v>
      </c>
      <c r="D89" s="232" t="str">
        <f>Exigences!AD123</f>
        <v>PAT</v>
      </c>
      <c r="E89" s="427">
        <v>43282</v>
      </c>
      <c r="F89" s="434">
        <f>Exigences!AE123</f>
        <v>43465</v>
      </c>
      <c r="G89" s="274">
        <f t="shared" si="3"/>
        <v>131</v>
      </c>
      <c r="H89" s="436">
        <f>Exigences!AF123</f>
        <v>0.5</v>
      </c>
      <c r="I89" s="232" t="str">
        <f>Exigences!AG123</f>
        <v>En cours</v>
      </c>
    </row>
    <row r="90" spans="1:9" x14ac:dyDescent="0.25">
      <c r="A90">
        <f t="shared" si="4"/>
        <v>89</v>
      </c>
      <c r="B90" s="232" t="str">
        <f>Exigences!AA124</f>
        <v>Pas de plan d'actions à suggérer!</v>
      </c>
      <c r="C90" s="274" t="s">
        <v>610</v>
      </c>
      <c r="D90" s="232">
        <f>Exigences!AD124</f>
        <v>0</v>
      </c>
      <c r="E90" s="274"/>
      <c r="F90" s="434">
        <f>Exigences!AE124</f>
        <v>0</v>
      </c>
      <c r="G90" s="274">
        <f t="shared" si="3"/>
        <v>0</v>
      </c>
      <c r="H90" s="436">
        <f>Exigences!AF124</f>
        <v>0</v>
      </c>
      <c r="I90" s="232">
        <f>Exigences!AG124</f>
        <v>0</v>
      </c>
    </row>
    <row r="91" spans="1:9" x14ac:dyDescent="0.25">
      <c r="A91">
        <f t="shared" si="4"/>
        <v>90</v>
      </c>
      <c r="B91" s="232" t="str">
        <f>Exigences!AA125</f>
        <v>Pas de plan d'actions à suggérer!</v>
      </c>
      <c r="C91" s="274" t="s">
        <v>610</v>
      </c>
      <c r="D91" s="232">
        <f>Exigences!AD125</f>
        <v>0</v>
      </c>
      <c r="E91" s="274"/>
      <c r="F91" s="434">
        <f>Exigences!AE125</f>
        <v>0</v>
      </c>
      <c r="G91" s="274">
        <f t="shared" si="3"/>
        <v>0</v>
      </c>
      <c r="H91" s="436">
        <f>Exigences!AF125</f>
        <v>0</v>
      </c>
      <c r="I91" s="232">
        <f>Exigences!AG125</f>
        <v>0</v>
      </c>
    </row>
    <row r="92" spans="1:9" x14ac:dyDescent="0.25">
      <c r="A92">
        <f t="shared" si="4"/>
        <v>91</v>
      </c>
      <c r="B92" s="232" t="str">
        <f>Exigences!AA126</f>
        <v>Pas de plan d'actions à suggérer!</v>
      </c>
      <c r="C92" s="274" t="s">
        <v>610</v>
      </c>
      <c r="D92" s="232">
        <f>Exigences!AD126</f>
        <v>0</v>
      </c>
      <c r="E92" s="274"/>
      <c r="F92" s="434">
        <f>Exigences!AE126</f>
        <v>0</v>
      </c>
      <c r="G92" s="274">
        <f t="shared" si="3"/>
        <v>0</v>
      </c>
      <c r="H92" s="436">
        <f>Exigences!AF126</f>
        <v>0</v>
      </c>
      <c r="I92" s="232">
        <f>Exigences!AG126</f>
        <v>0</v>
      </c>
    </row>
    <row r="93" spans="1:9" x14ac:dyDescent="0.25">
      <c r="A93">
        <f t="shared" si="4"/>
        <v>92</v>
      </c>
      <c r="B93" s="232" t="str">
        <f>Exigences!AA127</f>
        <v>Pas de plan d'actions à suggérer!</v>
      </c>
      <c r="C93" s="274" t="s">
        <v>610</v>
      </c>
      <c r="D93" s="232">
        <f>Exigences!AD127</f>
        <v>0</v>
      </c>
      <c r="E93" s="274"/>
      <c r="F93" s="434">
        <f>Exigences!AE127</f>
        <v>0</v>
      </c>
      <c r="G93" s="274">
        <f t="shared" si="3"/>
        <v>0</v>
      </c>
      <c r="H93" s="436">
        <f>Exigences!AF127</f>
        <v>0</v>
      </c>
      <c r="I93" s="232">
        <f>Exigences!AG127</f>
        <v>0</v>
      </c>
    </row>
    <row r="94" spans="1:9" x14ac:dyDescent="0.25">
      <c r="A94">
        <f t="shared" si="4"/>
        <v>93</v>
      </c>
      <c r="B94" s="232" t="str">
        <f>Exigences!AA128</f>
        <v>Pas de plan d'actions à suggérer!</v>
      </c>
      <c r="C94" s="274" t="s">
        <v>610</v>
      </c>
      <c r="D94" s="232">
        <f>Exigences!AD128</f>
        <v>0</v>
      </c>
      <c r="E94" s="274"/>
      <c r="F94" s="434">
        <f>Exigences!AE128</f>
        <v>0</v>
      </c>
      <c r="G94" s="274">
        <f t="shared" si="3"/>
        <v>0</v>
      </c>
      <c r="H94" s="436">
        <f>Exigences!AF128</f>
        <v>0</v>
      </c>
      <c r="I94" s="232">
        <f>Exigences!AG128</f>
        <v>0</v>
      </c>
    </row>
    <row r="95" spans="1:9" x14ac:dyDescent="0.25">
      <c r="A95">
        <f t="shared" si="4"/>
        <v>94</v>
      </c>
      <c r="B95" s="232" t="str">
        <f>Exigences!AA129</f>
        <v>Pas de plan d'actions à suggérer!</v>
      </c>
      <c r="C95" s="274" t="s">
        <v>610</v>
      </c>
      <c r="D95" s="232">
        <f>Exigences!AD129</f>
        <v>0</v>
      </c>
      <c r="E95" s="274"/>
      <c r="F95" s="434">
        <f>Exigences!AE129</f>
        <v>0</v>
      </c>
      <c r="G95" s="274">
        <f t="shared" si="3"/>
        <v>0</v>
      </c>
      <c r="H95" s="436">
        <f>Exigences!AF129</f>
        <v>0</v>
      </c>
      <c r="I95" s="232">
        <f>Exigences!AG129</f>
        <v>0</v>
      </c>
    </row>
    <row r="96" spans="1:9" x14ac:dyDescent="0.25">
      <c r="A96">
        <f t="shared" si="4"/>
        <v>95</v>
      </c>
      <c r="B96" s="232" t="str">
        <f>Exigences!AA130</f>
        <v>Pas de plan d'actions à suggérer!</v>
      </c>
      <c r="C96" s="274" t="s">
        <v>610</v>
      </c>
      <c r="D96" s="232">
        <f>Exigences!AD130</f>
        <v>0</v>
      </c>
      <c r="E96" s="427">
        <v>43160</v>
      </c>
      <c r="F96" s="434">
        <f>Exigences!AE130</f>
        <v>0</v>
      </c>
      <c r="G96" s="274">
        <f t="shared" si="3"/>
        <v>-30829</v>
      </c>
      <c r="H96" s="436">
        <f>Exigences!AF130</f>
        <v>0</v>
      </c>
      <c r="I96" s="232">
        <f>Exigences!AG130</f>
        <v>0</v>
      </c>
    </row>
    <row r="97" spans="1:9" x14ac:dyDescent="0.25">
      <c r="A97">
        <f t="shared" si="4"/>
        <v>96</v>
      </c>
      <c r="B97" s="232" t="str">
        <f>Exigences!AA131</f>
        <v>Pas de plan d'actions à suggérer!</v>
      </c>
      <c r="C97" s="274" t="s">
        <v>610</v>
      </c>
      <c r="D97" s="232">
        <f>Exigences!AD131</f>
        <v>0</v>
      </c>
      <c r="E97" s="274"/>
      <c r="F97" s="434">
        <f>Exigences!AE131</f>
        <v>0</v>
      </c>
      <c r="G97" s="274">
        <f t="shared" si="3"/>
        <v>0</v>
      </c>
      <c r="H97" s="436">
        <f>Exigences!AF131</f>
        <v>0</v>
      </c>
      <c r="I97" s="232">
        <f>Exigences!AG131</f>
        <v>0</v>
      </c>
    </row>
    <row r="98" spans="1:9" x14ac:dyDescent="0.25">
      <c r="A98">
        <f t="shared" si="4"/>
        <v>97</v>
      </c>
      <c r="B98" s="232" t="str">
        <f>Exigences!AA132</f>
        <v>Pas de plan d'actions à suggérer!</v>
      </c>
      <c r="C98" s="274" t="s">
        <v>610</v>
      </c>
      <c r="D98" s="232">
        <f>Exigences!AD132</f>
        <v>0</v>
      </c>
      <c r="E98" s="274"/>
      <c r="F98" s="434">
        <f>Exigences!AE132</f>
        <v>0</v>
      </c>
      <c r="G98" s="274">
        <f t="shared" ref="G98:G105" si="5">NETWORKDAYS(E98,F98)</f>
        <v>0</v>
      </c>
      <c r="H98" s="436">
        <f>Exigences!AF132</f>
        <v>0</v>
      </c>
      <c r="I98" s="232">
        <f>Exigences!AG132</f>
        <v>0</v>
      </c>
    </row>
    <row r="99" spans="1:9" x14ac:dyDescent="0.25">
      <c r="A99">
        <f t="shared" si="4"/>
        <v>98</v>
      </c>
      <c r="B99" s="232" t="str">
        <f>Exigences!AA134</f>
        <v>Pas de plan d'actions à suggérer!</v>
      </c>
      <c r="C99" s="274" t="s">
        <v>610</v>
      </c>
      <c r="D99" s="232">
        <f>Exigences!AD134</f>
        <v>0</v>
      </c>
      <c r="E99" s="274"/>
      <c r="F99" s="434">
        <f>Exigences!AE134</f>
        <v>0</v>
      </c>
      <c r="G99" s="274">
        <f t="shared" si="5"/>
        <v>0</v>
      </c>
      <c r="H99" s="436">
        <f>Exigences!AF134</f>
        <v>0</v>
      </c>
      <c r="I99" s="232">
        <f>Exigences!AG134</f>
        <v>0</v>
      </c>
    </row>
    <row r="100" spans="1:9" x14ac:dyDescent="0.25">
      <c r="A100">
        <f t="shared" si="4"/>
        <v>99</v>
      </c>
      <c r="B100" s="232" t="str">
        <f>Exigences!AA135</f>
        <v>Pas de plan d'actions à suggérer!</v>
      </c>
      <c r="C100" s="274" t="s">
        <v>610</v>
      </c>
      <c r="D100" s="232">
        <f>Exigences!AD135</f>
        <v>0</v>
      </c>
      <c r="E100" s="274"/>
      <c r="F100" s="434">
        <f>Exigences!AE135</f>
        <v>0</v>
      </c>
      <c r="G100" s="274">
        <f t="shared" si="5"/>
        <v>0</v>
      </c>
      <c r="H100" s="436">
        <f>Exigences!AF135</f>
        <v>0</v>
      </c>
      <c r="I100" s="232">
        <f>Exigences!AG135</f>
        <v>0</v>
      </c>
    </row>
    <row r="101" spans="1:9" x14ac:dyDescent="0.25">
      <c r="A101">
        <f t="shared" si="4"/>
        <v>100</v>
      </c>
      <c r="B101" s="232" t="str">
        <f>Exigences!AA137</f>
        <v>Pas de plan d'actions à suggérer!</v>
      </c>
      <c r="C101" s="274" t="s">
        <v>610</v>
      </c>
      <c r="D101" s="232">
        <f>Exigences!AD137</f>
        <v>0</v>
      </c>
      <c r="E101" s="427">
        <v>43252</v>
      </c>
      <c r="F101" s="434">
        <f>Exigences!AE137</f>
        <v>0</v>
      </c>
      <c r="G101" s="274">
        <f t="shared" si="5"/>
        <v>-30895</v>
      </c>
      <c r="H101" s="436">
        <f>Exigences!AF137</f>
        <v>0</v>
      </c>
      <c r="I101" s="232">
        <f>Exigences!AG137</f>
        <v>0</v>
      </c>
    </row>
    <row r="102" spans="1:9" x14ac:dyDescent="0.25">
      <c r="A102">
        <f t="shared" si="4"/>
        <v>101</v>
      </c>
      <c r="B102" s="232" t="str">
        <f>Exigences!AA138</f>
        <v>Pas de plan d'actions à suggérer!</v>
      </c>
      <c r="C102" s="274" t="s">
        <v>610</v>
      </c>
      <c r="D102" s="232">
        <f>Exigences!AD138</f>
        <v>0</v>
      </c>
      <c r="E102" s="274"/>
      <c r="F102" s="434">
        <f>Exigences!AE138</f>
        <v>0</v>
      </c>
      <c r="G102" s="274">
        <f t="shared" si="5"/>
        <v>0</v>
      </c>
      <c r="H102" s="436">
        <f>Exigences!AF138</f>
        <v>0</v>
      </c>
      <c r="I102" s="232">
        <f>Exigences!AG138</f>
        <v>0</v>
      </c>
    </row>
    <row r="103" spans="1:9" x14ac:dyDescent="0.25">
      <c r="A103">
        <f t="shared" si="4"/>
        <v>102</v>
      </c>
      <c r="B103" s="232" t="str">
        <f>Exigences!AA139</f>
        <v>Pas de plan d'actions à suggérer!</v>
      </c>
      <c r="C103" s="274" t="s">
        <v>611</v>
      </c>
      <c r="D103" s="232">
        <f>Exigences!AD139</f>
        <v>0</v>
      </c>
      <c r="E103" s="274"/>
      <c r="F103" s="434">
        <f>Exigences!AE139</f>
        <v>0</v>
      </c>
      <c r="G103" s="274">
        <f t="shared" si="5"/>
        <v>0</v>
      </c>
      <c r="H103" s="436">
        <f>Exigences!AF139</f>
        <v>0</v>
      </c>
      <c r="I103" s="232">
        <f>Exigences!AG139</f>
        <v>0</v>
      </c>
    </row>
    <row r="104" spans="1:9" x14ac:dyDescent="0.25">
      <c r="A104">
        <f t="shared" si="4"/>
        <v>103</v>
      </c>
      <c r="B104" s="232" t="str">
        <f>Exigences!AA140</f>
        <v>Pas de plan d'actions à suggérer!</v>
      </c>
      <c r="C104" s="274" t="s">
        <v>611</v>
      </c>
      <c r="D104" s="232">
        <f>Exigences!AD140</f>
        <v>0</v>
      </c>
      <c r="E104" s="274"/>
      <c r="F104" s="434">
        <f>Exigences!AE140</f>
        <v>0</v>
      </c>
      <c r="G104" s="274">
        <f t="shared" si="5"/>
        <v>0</v>
      </c>
      <c r="H104" s="436">
        <f>Exigences!AF140</f>
        <v>0</v>
      </c>
      <c r="I104" s="232">
        <f>Exigences!AG140</f>
        <v>0</v>
      </c>
    </row>
    <row r="105" spans="1:9" x14ac:dyDescent="0.25">
      <c r="A105">
        <f t="shared" si="4"/>
        <v>104</v>
      </c>
      <c r="B105" s="232" t="str">
        <f>Exigences!AA143</f>
        <v>Pas de plan d'actions à suggérer!</v>
      </c>
      <c r="C105" s="274" t="s">
        <v>611</v>
      </c>
      <c r="D105" s="232">
        <f>Exigences!AD143</f>
        <v>0</v>
      </c>
      <c r="E105" s="274"/>
      <c r="F105" s="434">
        <f>Exigences!AE143</f>
        <v>0</v>
      </c>
      <c r="G105" s="274">
        <f t="shared" si="5"/>
        <v>0</v>
      </c>
      <c r="H105" s="436">
        <f>Exigences!AF143</f>
        <v>0</v>
      </c>
      <c r="I105" s="232">
        <f>Exigences!AG143</f>
        <v>0</v>
      </c>
    </row>
    <row r="106" spans="1:9" x14ac:dyDescent="0.25">
      <c r="A106">
        <f t="shared" si="4"/>
        <v>105</v>
      </c>
      <c r="B106" s="232" t="str">
        <f>Exigences!AA144</f>
        <v>Pas de plan d'actions à suggérer!</v>
      </c>
      <c r="C106" s="274" t="s">
        <v>611</v>
      </c>
      <c r="D106" s="232">
        <f>Exigences!AD144</f>
        <v>0</v>
      </c>
      <c r="F106" s="434">
        <f>Exigences!AE144</f>
        <v>0</v>
      </c>
      <c r="G106" s="274">
        <f t="shared" ref="G106:G119" si="6">NETWORKDAYS(E106,F106)</f>
        <v>0</v>
      </c>
      <c r="H106" s="436">
        <f>Exigences!AF144</f>
        <v>0</v>
      </c>
      <c r="I106" s="232">
        <f>Exigences!AG144</f>
        <v>0</v>
      </c>
    </row>
    <row r="107" spans="1:9" x14ac:dyDescent="0.25">
      <c r="A107">
        <f t="shared" si="4"/>
        <v>106</v>
      </c>
      <c r="B107" s="232" t="str">
        <f>Exigences!AA145</f>
        <v>Pas de plan d'actions à suggérer!</v>
      </c>
      <c r="C107" s="274" t="s">
        <v>611</v>
      </c>
      <c r="D107" s="232">
        <f>Exigences!AD145</f>
        <v>0</v>
      </c>
      <c r="F107" s="434">
        <f>Exigences!AE145</f>
        <v>0</v>
      </c>
      <c r="G107" s="274">
        <f t="shared" si="6"/>
        <v>0</v>
      </c>
      <c r="H107" s="436">
        <f>Exigences!AF145</f>
        <v>0</v>
      </c>
      <c r="I107" s="232">
        <f>Exigences!AG145</f>
        <v>0</v>
      </c>
    </row>
    <row r="108" spans="1:9" x14ac:dyDescent="0.25">
      <c r="A108">
        <f t="shared" si="4"/>
        <v>107</v>
      </c>
      <c r="B108" s="232" t="str">
        <f>Exigences!AA146</f>
        <v>Pas de plan d'actions à suggérer!</v>
      </c>
      <c r="C108" s="274" t="s">
        <v>611</v>
      </c>
      <c r="D108" s="232">
        <f>Exigences!AD146</f>
        <v>0</v>
      </c>
      <c r="F108" s="434">
        <f>Exigences!AE146</f>
        <v>0</v>
      </c>
      <c r="G108" s="274">
        <f t="shared" si="6"/>
        <v>0</v>
      </c>
      <c r="H108" s="436">
        <f>Exigences!AF146</f>
        <v>0</v>
      </c>
      <c r="I108" s="232">
        <f>Exigences!AG146</f>
        <v>0</v>
      </c>
    </row>
    <row r="109" spans="1:9" x14ac:dyDescent="0.25">
      <c r="A109">
        <f t="shared" si="4"/>
        <v>108</v>
      </c>
      <c r="B109" s="232" t="str">
        <f>Exigences!AA147</f>
        <v>Pas de plan d'actions à suggérer!</v>
      </c>
      <c r="C109" s="274" t="s">
        <v>611</v>
      </c>
      <c r="D109" s="232">
        <f>Exigences!AD147</f>
        <v>0</v>
      </c>
      <c r="E109" s="427">
        <v>43282</v>
      </c>
      <c r="F109" s="434">
        <f>Exigences!AE147</f>
        <v>0</v>
      </c>
      <c r="G109" s="274">
        <f t="shared" si="6"/>
        <v>-30915</v>
      </c>
      <c r="H109" s="436">
        <f>Exigences!AF147</f>
        <v>0</v>
      </c>
      <c r="I109" s="232">
        <f>Exigences!AG147</f>
        <v>0</v>
      </c>
    </row>
    <row r="110" spans="1:9" x14ac:dyDescent="0.25">
      <c r="A110">
        <f t="shared" si="4"/>
        <v>109</v>
      </c>
      <c r="B110" s="232" t="str">
        <f>Exigences!AA148</f>
        <v>Pas de plan d'actions à suggérer!</v>
      </c>
      <c r="C110" s="274" t="s">
        <v>611</v>
      </c>
      <c r="D110" s="232">
        <f>Exigences!AD148</f>
        <v>0</v>
      </c>
      <c r="E110" s="274"/>
      <c r="F110" s="434">
        <f>Exigences!AE148</f>
        <v>0</v>
      </c>
      <c r="G110" s="274">
        <f t="shared" si="6"/>
        <v>0</v>
      </c>
      <c r="H110" s="436">
        <f>Exigences!AF148</f>
        <v>0</v>
      </c>
      <c r="I110" s="232">
        <f>Exigences!AG148</f>
        <v>0</v>
      </c>
    </row>
    <row r="111" spans="1:9" x14ac:dyDescent="0.25">
      <c r="A111">
        <f t="shared" si="4"/>
        <v>110</v>
      </c>
      <c r="B111" s="232" t="str">
        <f>Exigences!AA150</f>
        <v>Pas de plan d'actions à suggérer!</v>
      </c>
      <c r="C111" s="274" t="s">
        <v>611</v>
      </c>
      <c r="D111" s="232">
        <f>Exigences!AD150</f>
        <v>0</v>
      </c>
      <c r="E111" s="274"/>
      <c r="F111" s="434">
        <f>Exigences!AE150</f>
        <v>0</v>
      </c>
      <c r="G111" s="274">
        <f t="shared" si="6"/>
        <v>0</v>
      </c>
      <c r="H111" s="436">
        <f>Exigences!AF150</f>
        <v>0</v>
      </c>
      <c r="I111" s="232">
        <f>Exigences!AG150</f>
        <v>0</v>
      </c>
    </row>
    <row r="112" spans="1:9" x14ac:dyDescent="0.25">
      <c r="A112">
        <f t="shared" si="4"/>
        <v>111</v>
      </c>
      <c r="B112" s="232" t="str">
        <f>Exigences!AA151</f>
        <v>Pas de plan d'actions à suggérer!</v>
      </c>
      <c r="C112" s="274" t="s">
        <v>611</v>
      </c>
      <c r="D112" s="232">
        <f>Exigences!AD151</f>
        <v>0</v>
      </c>
      <c r="E112" s="274"/>
      <c r="F112" s="434">
        <f>Exigences!AE151</f>
        <v>0</v>
      </c>
      <c r="G112" s="274">
        <f t="shared" si="6"/>
        <v>0</v>
      </c>
      <c r="H112" s="436">
        <f>Exigences!AF151</f>
        <v>0</v>
      </c>
      <c r="I112" s="232">
        <f>Exigences!AG151</f>
        <v>0</v>
      </c>
    </row>
    <row r="113" spans="1:9" x14ac:dyDescent="0.25">
      <c r="A113">
        <f t="shared" si="4"/>
        <v>112</v>
      </c>
      <c r="B113" s="232" t="str">
        <f>Exigences!AA152</f>
        <v>Pas de plan d'actions à suggérer!</v>
      </c>
      <c r="C113" s="274" t="s">
        <v>611</v>
      </c>
      <c r="D113" s="232">
        <f>Exigences!AD152</f>
        <v>0</v>
      </c>
      <c r="F113" s="434">
        <f>Exigences!AE152</f>
        <v>0</v>
      </c>
      <c r="G113" s="274">
        <f t="shared" si="6"/>
        <v>0</v>
      </c>
      <c r="H113" s="436">
        <f>Exigences!AF152</f>
        <v>0</v>
      </c>
      <c r="I113" s="232">
        <f>Exigences!AG152</f>
        <v>0</v>
      </c>
    </row>
    <row r="114" spans="1:9" x14ac:dyDescent="0.25">
      <c r="A114">
        <f t="shared" si="4"/>
        <v>113</v>
      </c>
      <c r="B114" s="232" t="str">
        <f>Exigences!AA154</f>
        <v>Pas de plan d'actions à suggérer!</v>
      </c>
      <c r="C114" s="274" t="s">
        <v>612</v>
      </c>
      <c r="D114" s="232">
        <f>Exigences!AD154</f>
        <v>0</v>
      </c>
      <c r="E114" s="427">
        <v>43160</v>
      </c>
      <c r="F114" s="434">
        <f>Exigences!AE154</f>
        <v>0</v>
      </c>
      <c r="G114" s="274">
        <f t="shared" si="6"/>
        <v>-30829</v>
      </c>
      <c r="H114" s="436">
        <f>Exigences!AF154</f>
        <v>0</v>
      </c>
      <c r="I114" s="232">
        <f>Exigences!AG154</f>
        <v>0</v>
      </c>
    </row>
    <row r="115" spans="1:9" x14ac:dyDescent="0.25">
      <c r="A115">
        <f t="shared" si="4"/>
        <v>114</v>
      </c>
      <c r="B115" s="232" t="str">
        <f>Exigences!AA155</f>
        <v>Pas de plan d'actions à suggérer!</v>
      </c>
      <c r="C115" s="274" t="s">
        <v>612</v>
      </c>
      <c r="D115" s="232">
        <f>Exigences!AD155</f>
        <v>0</v>
      </c>
      <c r="E115" s="274"/>
      <c r="F115" s="434">
        <f>Exigences!AE155</f>
        <v>0</v>
      </c>
      <c r="G115" s="274">
        <f t="shared" si="6"/>
        <v>0</v>
      </c>
      <c r="H115" s="436">
        <f>Exigences!AF155</f>
        <v>0</v>
      </c>
      <c r="I115" s="232">
        <f>Exigences!AG155</f>
        <v>0</v>
      </c>
    </row>
    <row r="116" spans="1:9" x14ac:dyDescent="0.25">
      <c r="A116">
        <f t="shared" si="4"/>
        <v>115</v>
      </c>
      <c r="B116" s="232" t="str">
        <f>Exigences!AA158</f>
        <v>Pas de plan d'actions à suggérer!</v>
      </c>
      <c r="C116" s="274" t="s">
        <v>612</v>
      </c>
      <c r="D116" s="232">
        <f>Exigences!AD158</f>
        <v>0</v>
      </c>
      <c r="E116" s="274"/>
      <c r="F116" s="434">
        <f>Exigences!AE158</f>
        <v>0</v>
      </c>
      <c r="G116" s="274">
        <f t="shared" si="6"/>
        <v>0</v>
      </c>
      <c r="H116" s="436">
        <f>Exigences!AF158</f>
        <v>0</v>
      </c>
      <c r="I116" s="232">
        <f>Exigences!AG158</f>
        <v>0</v>
      </c>
    </row>
    <row r="117" spans="1:9" x14ac:dyDescent="0.25">
      <c r="A117">
        <f t="shared" si="4"/>
        <v>116</v>
      </c>
      <c r="B117" s="232" t="str">
        <f>Exigences!AA160</f>
        <v>Pas de plan d'actions à suggérer!</v>
      </c>
      <c r="C117" s="274" t="s">
        <v>612</v>
      </c>
      <c r="D117" s="232">
        <f>Exigences!AD160</f>
        <v>0</v>
      </c>
      <c r="E117" s="427">
        <v>43282</v>
      </c>
      <c r="F117" s="434">
        <f>Exigences!AE160</f>
        <v>0</v>
      </c>
      <c r="G117" s="274">
        <f t="shared" si="6"/>
        <v>-30915</v>
      </c>
      <c r="H117" s="436">
        <f>Exigences!AF160</f>
        <v>0</v>
      </c>
      <c r="I117" s="232">
        <f>Exigences!AG160</f>
        <v>0</v>
      </c>
    </row>
    <row r="118" spans="1:9" x14ac:dyDescent="0.25">
      <c r="A118">
        <f t="shared" si="4"/>
        <v>117</v>
      </c>
      <c r="B118" s="232" t="str">
        <f>Exigences!AA161</f>
        <v>Pas de plan d'actions à suggérer!</v>
      </c>
      <c r="C118" s="274" t="s">
        <v>612</v>
      </c>
      <c r="D118" s="232">
        <f>Exigences!AD161</f>
        <v>0</v>
      </c>
      <c r="E118" s="274"/>
      <c r="F118" s="434">
        <f>Exigences!AE161</f>
        <v>0</v>
      </c>
      <c r="G118" s="274">
        <f t="shared" si="6"/>
        <v>0</v>
      </c>
      <c r="H118" s="436">
        <f>Exigences!AF161</f>
        <v>0</v>
      </c>
      <c r="I118" s="232">
        <f>Exigences!AG161</f>
        <v>0</v>
      </c>
    </row>
    <row r="119" spans="1:9" x14ac:dyDescent="0.25">
      <c r="A119">
        <f t="shared" si="4"/>
        <v>118</v>
      </c>
      <c r="B119" s="232" t="str">
        <f>Exigences!AA163</f>
        <v>Pas de plan d'actions à suggérer!</v>
      </c>
      <c r="C119" s="274" t="s">
        <v>612</v>
      </c>
      <c r="D119" s="232">
        <f>Exigences!AD163</f>
        <v>0</v>
      </c>
      <c r="F119" s="434">
        <f>Exigences!AE163</f>
        <v>0</v>
      </c>
      <c r="G119" s="274">
        <f t="shared" si="6"/>
        <v>0</v>
      </c>
      <c r="H119" s="436">
        <f>Exigences!AF163</f>
        <v>0</v>
      </c>
      <c r="I119" s="232">
        <f>Exigences!AG163</f>
        <v>0</v>
      </c>
    </row>
  </sheetData>
  <autoFilter ref="B1:I1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Présentation</vt:lpstr>
      <vt:lpstr>Caractéristique Entreprise</vt:lpstr>
      <vt:lpstr>Définitions</vt:lpstr>
      <vt:lpstr>Exigences</vt:lpstr>
      <vt:lpstr>Résultats Globaux</vt:lpstr>
      <vt:lpstr>Résultats Détaillés</vt:lpstr>
      <vt:lpstr>Plan d'actions</vt:lpstr>
      <vt:lpstr>Plan d'action pour Power BI</vt:lpstr>
      <vt:lpstr>'Résultats Globaux'!Criteres</vt:lpstr>
      <vt:lpstr>Exigences!Impression_des_titres</vt:lpstr>
      <vt:lpstr>'Résultats Détaillés'!Impression_des_titres</vt:lpstr>
      <vt:lpstr>'Résultats Globaux'!Impression_des_titres</vt:lpstr>
      <vt:lpstr>liste1</vt:lpstr>
      <vt:lpstr>na</vt:lpstr>
      <vt:lpstr>'Résultats Globaux'!Recherche1</vt:lpstr>
      <vt:lpstr>'Caractéristique Entreprise'!Zone_d_impression</vt:lpstr>
      <vt:lpstr>Définitions!Zone_d_impression</vt:lpstr>
      <vt:lpstr>Exigences!Zone_d_impression</vt:lpstr>
      <vt:lpstr>Présentation!Zone_d_impression</vt:lpstr>
      <vt:lpstr>'Résultats Détaillés'!Zone_d_impression</vt:lpstr>
      <vt:lpstr>'Résultats Globaux'!Zone_d_impression</vt:lpstr>
    </vt:vector>
  </TitlesOfParts>
  <Company>ALTEN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Socle Qualité</dc:title>
  <dc:creator>angelique.hamonet@alten.com;meriem.smirani@alten.com</dc:creator>
  <cp:lastModifiedBy>Meriem SMIRANI</cp:lastModifiedBy>
  <cp:lastPrinted>2018-05-16T15:36:02Z</cp:lastPrinted>
  <dcterms:created xsi:type="dcterms:W3CDTF">2013-11-15T16:22:47Z</dcterms:created>
  <dcterms:modified xsi:type="dcterms:W3CDTF">2018-06-21T13:19:35Z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aaada7f8-a764-4552-8af1-08237a8e2733</vt:lpwstr>
  </property>
</Properties>
</file>